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tabRatio="930" firstSheet="1" activeTab="17"/>
  </bookViews>
  <sheets>
    <sheet name="0150-11" sheetId="1" r:id="rId1"/>
    <sheet name="2010_11" sheetId="2" r:id="rId2"/>
    <sheet name="2152_11" sheetId="3" r:id="rId3"/>
    <sheet name="2144_11" sheetId="4" r:id="rId4"/>
    <sheet name="4082_11" sheetId="5" r:id="rId5"/>
    <sheet name="6082_11" sheetId="6" r:id="rId6"/>
    <sheet name="6083_11" sheetId="7" r:id="rId7"/>
    <sheet name="7130_11" sheetId="8" r:id="rId8"/>
    <sheet name="7322" sheetId="9" r:id="rId9"/>
    <sheet name="7330_11" sheetId="10" r:id="rId10"/>
    <sheet name="7350_11" sheetId="11" r:id="rId11"/>
    <sheet name="7370_11" sheetId="12" r:id="rId12"/>
    <sheet name="7412_11" sheetId="13" r:id="rId13"/>
    <sheet name="7650_11" sheetId="14" r:id="rId14"/>
    <sheet name="7693_11" sheetId="15" r:id="rId15"/>
    <sheet name="8110_11" sheetId="16" r:id="rId16"/>
    <sheet name="8130_11" sheetId="17" r:id="rId17"/>
    <sheet name="7413-11" sheetId="18" r:id="rId18"/>
    <sheet name="7310-11" sheetId="19" r:id="rId19"/>
    <sheet name="6030-11" sheetId="20" r:id="rId20"/>
    <sheet name="6013-11" sheetId="21" r:id="rId21"/>
    <sheet name="6012-11" sheetId="22" r:id="rId22"/>
    <sheet name="6011-11" sheetId="23" r:id="rId23"/>
  </sheets>
  <definedNames/>
  <calcPr fullCalcOnLoad="1"/>
</workbook>
</file>

<file path=xl/sharedStrings.xml><?xml version="1.0" encoding="utf-8"?>
<sst xmlns="http://schemas.openxmlformats.org/spreadsheetml/2006/main" count="4360" uniqueCount="799">
  <si>
    <t>Навчання студентів в вищих навчальних закладах</t>
  </si>
  <si>
    <t>Підтримка безперебійного функціонування та експлуатаційно-технічне обслуговування засобів системи оповіщення населення про загрозу виникнення НС місцевого рівня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</si>
  <si>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</si>
  <si>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кількість ліжок у звичайних  стаціонарах</t>
  </si>
  <si>
    <t>Кількість ліжко-днів у звичайних стаціонарах</t>
  </si>
  <si>
    <t>кошторис, реєстр змін до кошторису</t>
  </si>
  <si>
    <t>ЗАТВЕРДЖЕНО                                                                                                         Наказ Міністерства фінансів України 26 серпня 2014 року N 836                                                         (у редакції наказу Міністерства фінансів України від 29 грудня 2018 року N 1209)</t>
  </si>
  <si>
    <t xml:space="preserve">Капітальний ремонт адміністративних будівель </t>
  </si>
  <si>
    <t>кошторис, зміни до кошторису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</si>
  <si>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</si>
  <si>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</si>
  <si>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</si>
  <si>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</si>
  <si>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</si>
  <si>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</si>
  <si>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</si>
  <si>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</si>
  <si>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</si>
  <si>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</si>
  <si>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</si>
  <si>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</si>
  <si>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</si>
  <si>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</si>
  <si>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</si>
  <si>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Завдання 2. Забезпечення профілактики захворювань населення та підтримки громадського здоров'я за місцем проживання (перебування)</t>
  </si>
  <si>
    <t>0421</t>
  </si>
  <si>
    <t>Завдання 1. Проведення нормативної грошової оцінки земель населених пунктів</t>
  </si>
  <si>
    <t>Завдання 2. Проведення нормативної грошової оцінки земель населених пунктів</t>
  </si>
  <si>
    <t xml:space="preserve"> </t>
  </si>
  <si>
    <t>Запланована кількість земельних ділянок</t>
  </si>
  <si>
    <t>Затрати на на 1 одиницю</t>
  </si>
  <si>
    <t>Запланована кількість технічних документацій</t>
  </si>
  <si>
    <t>Прогнозний відсоток виконання даного завдання затвердженої програми</t>
  </si>
  <si>
    <t>планові показники</t>
  </si>
  <si>
    <t>ЗАТВЕРДЖЕНО                                                                                                Наказ Міністерства фінансів України 26 серпня 2014 року N 836                                                         (у редакції наказу Міністерства фінансів України від 29 грудня 2018 року N 1209)</t>
  </si>
  <si>
    <t>0443</t>
  </si>
  <si>
    <r>
      <t xml:space="preserve">Мета бюджетної програми:   </t>
    </r>
    <r>
      <rPr>
        <u val="single"/>
        <sz val="12"/>
        <color indexed="8"/>
        <rFont val="Times New Roman"/>
        <family val="1"/>
      </rPr>
      <t>Запезпечення розвитку інфраструктури території</t>
    </r>
  </si>
  <si>
    <t>га</t>
  </si>
  <si>
    <t>Прогнозований відсоток виконання даного завдання затвердженої програми</t>
  </si>
  <si>
    <t>0490</t>
  </si>
  <si>
    <t>Наказ Міністерства внутрішніх справ України від 14.08.2015 р. № 975 «Про затвердження Умов оплати праці працівників бюджетних установ, закладів та організацій Державної служби України з надзвичайних ситуацій» (зі змінами)</t>
  </si>
  <si>
    <t>Цілі державної політики, на досягнення яких спрямована реалізація бюджетної програми</t>
  </si>
  <si>
    <t>Забезпечення надання населенню амбулаторно-поліклінічної допомоги</t>
  </si>
  <si>
    <t>гривень, у тому числі загального фонду-</t>
  </si>
  <si>
    <t>гривень та спеціального фонду-</t>
  </si>
  <si>
    <r>
      <t xml:space="preserve">Мета бюджетної програми:   </t>
    </r>
    <r>
      <rPr>
        <u val="single"/>
        <sz val="12"/>
        <color indexed="8"/>
        <rFont val="Times New Roman"/>
        <family val="1"/>
      </rPr>
      <t>Організаційне, інформаційно-аналітичне та матеріально-технічне забезпечення діяльності Лиманської  міської ради та її виконавчих органів</t>
    </r>
  </si>
  <si>
    <t>Забезпечення виконання наданих законодавством повноважень виконавчому комітету  Лиманської міської ради</t>
  </si>
  <si>
    <t>11.</t>
  </si>
  <si>
    <t>Обсяги видатків</t>
  </si>
  <si>
    <t>кількість проведених сесій міської ради</t>
  </si>
  <si>
    <t>кількість проведених засідань виконавчого комітету  міської ради</t>
  </si>
  <si>
    <t>кількість прийнятих нормативно-правових актів</t>
  </si>
  <si>
    <t>кількість особистих прийомів керівників міської ради та виконавчого комітету  міської ради</t>
  </si>
  <si>
    <t>витрати на утримання однієї штатної одиниці</t>
  </si>
  <si>
    <t>Відсоток виконання програми</t>
  </si>
  <si>
    <t xml:space="preserve">Відсоток забезпечення </t>
  </si>
  <si>
    <t>Кількість виконаних листів, звернень, скарг,заяв, на одного працівника</t>
  </si>
  <si>
    <t>обсяги видатків</t>
  </si>
  <si>
    <t>кількість отриманих листів, звернень, заяв, скарг</t>
  </si>
  <si>
    <t>кількість прийнятих нормативно-правових актів на одного працівника</t>
  </si>
  <si>
    <t>Кількість прийнятих нормативно-правових актів на одного працівника</t>
  </si>
  <si>
    <t>кошторис</t>
  </si>
  <si>
    <t>Мета бюджетної програми:   оплата навчання студентів з метою забезпечення населення міста та району кваліфікованим лікарським персоналом, збереження здоров’я населення.</t>
  </si>
  <si>
    <t xml:space="preserve">Завдання 1. Забезпечення виконання наданих законодавством повноважень виконавчому комітету Лиманської міської ради </t>
  </si>
  <si>
    <t>осіб</t>
  </si>
  <si>
    <t>штатний розпис</t>
  </si>
  <si>
    <t>од.</t>
  </si>
  <si>
    <t>розпорядження міського голови</t>
  </si>
  <si>
    <t>план роботи виконавчого комітету міської ради</t>
  </si>
  <si>
    <t>облікові дані</t>
  </si>
  <si>
    <t>розрахунок</t>
  </si>
  <si>
    <t>%</t>
  </si>
  <si>
    <t>згідно запланованих видатків</t>
  </si>
  <si>
    <t>Міський голова</t>
  </si>
  <si>
    <t>Цимідан П.Ф.</t>
  </si>
  <si>
    <t>(ініціали і прізвище)</t>
  </si>
  <si>
    <t>Пилипенко Т.В.</t>
  </si>
  <si>
    <t>0763</t>
  </si>
  <si>
    <t>0111</t>
  </si>
  <si>
    <t>грн.</t>
  </si>
  <si>
    <t>рішення сесії</t>
  </si>
  <si>
    <t>статистична звітність</t>
  </si>
  <si>
    <r>
      <t xml:space="preserve">Мета бюджетної програми:  </t>
    </r>
    <r>
      <rPr>
        <u val="single"/>
        <sz val="12"/>
        <color indexed="8"/>
        <rFont val="Times New Roman"/>
        <family val="1"/>
      </rPr>
      <t>Підтримка належного рівня пожежної безпеки на об’єктах і в населених пунктах</t>
    </r>
  </si>
  <si>
    <t>Завдання 1. Забезпечення здійснення контролю за дотриманням протипожежних вимог, запобігання пожежам і нещасним випадкам, гасіння пожеж</t>
  </si>
  <si>
    <t>разрахунок</t>
  </si>
  <si>
    <t>Кількість виїздів на об'єкти пожежного нагляду</t>
  </si>
  <si>
    <t>Середні видатки на ліквідацію однієї пожежі</t>
  </si>
  <si>
    <t>Відсоток виконання програм</t>
  </si>
  <si>
    <t xml:space="preserve"> продукту</t>
  </si>
  <si>
    <t xml:space="preserve">Розпорядження міського голови  </t>
  </si>
  <si>
    <t xml:space="preserve">Забезпечення хворих на цукровий діабет препаратами інсуліну </t>
  </si>
  <si>
    <t>Забезпечення хворих на нецукровий діабет препаратами десмопресину</t>
  </si>
  <si>
    <t>Завдання 2. Громадський бюджет</t>
  </si>
  <si>
    <t>Громадський бюджет</t>
  </si>
  <si>
    <t>________________________№_______________________</t>
  </si>
  <si>
    <t xml:space="preserve">Розпорядження міського голови </t>
  </si>
  <si>
    <t>Закон України "Про службу в органах місцевого самоврядування", "Про упорядкування структури та умов оплати праці працівників апарату органів виконавчої влади, органів прокуратури, судів та інших органів" (постанова від 09.03.06 № 268 зі змінами)</t>
  </si>
  <si>
    <t>Наказ Міністерства праці  від 02.10.1996р. № 77 "Про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органів" (зі змінами)</t>
  </si>
  <si>
    <t>Підвищення якості та ефективності надання медичної допомоги, збереження та зміцнення здоров'я населення, зростання тривалості життя та зниження рівня захворюваності, інвалідності і смертності</t>
  </si>
  <si>
    <t>Бюджетний кодекс України  від 08.07.2010 № 2456-4 із змінами</t>
  </si>
  <si>
    <t>кошторис, довідка про зміни до кошторису</t>
  </si>
  <si>
    <t>Конституція України із змінами та доповненнями</t>
  </si>
  <si>
    <t>ЗАТВЕРДЖЕНО                                                                                                                  Наказ Міністерства фінансів України 26 серпня 2014 року N 836                                                         (у редакції наказу Міністерства фінансів України від 29 грудня 2018 року N 1209)</t>
  </si>
  <si>
    <t>Вжиття заходів з профілактики захворювань населення та підтримки громадського здоров'я, забезпечення керованості та безперервності медичної допомоги</t>
  </si>
  <si>
    <t>Забезпечення населення доступною, своєчасною, якісною та ефективною первинною медичною допомогою</t>
  </si>
  <si>
    <t>Обсяг ресурсів всього, в т.ч. на:</t>
  </si>
  <si>
    <t>теплопостачання</t>
  </si>
  <si>
    <t>опалювальна площа приміщень</t>
  </si>
  <si>
    <t>технічний паспорт</t>
  </si>
  <si>
    <t>-</t>
  </si>
  <si>
    <t>водопостачання та водовідведення</t>
  </si>
  <si>
    <t>загальна площа приміщень</t>
  </si>
  <si>
    <t>електроенергію</t>
  </si>
  <si>
    <t>природний газ</t>
  </si>
  <si>
    <t>нат.од.</t>
  </si>
  <si>
    <t>Гкал</t>
  </si>
  <si>
    <t>наказ</t>
  </si>
  <si>
    <t>куб.м.</t>
  </si>
  <si>
    <t>кВт год</t>
  </si>
  <si>
    <t>Середнє споживання  енергоносіїв, в тому числі:</t>
  </si>
  <si>
    <t>теплопостачання, Гкал на 1 м2 опалювальної площі</t>
  </si>
  <si>
    <t xml:space="preserve"> водопостачання та водовідведення, м3 на 1м2 загальної площі</t>
  </si>
  <si>
    <t>електроенергії, кВт год на 1 м2 загальної площі</t>
  </si>
  <si>
    <t>природного газу, м3 на 1 м2 загальної площі</t>
  </si>
  <si>
    <t>Видатки на безкоштовний та пiльговий вiдпуск медикаментiв, грн.</t>
  </si>
  <si>
    <t xml:space="preserve">Забезпечення виконання наданих законодавством повноважень виконавчому комітету Лиманської міської ради </t>
  </si>
  <si>
    <t>Захист прав місцевого самоврядування</t>
  </si>
  <si>
    <t>Організація підготовки та перепідготовки кадрів для служби в органах місцевого самоврядування</t>
  </si>
  <si>
    <t>Правовий та соціальний захист посадових осіб місцевого самоврядування</t>
  </si>
  <si>
    <t>Методичне та інформаційне забезпечення служби в органах місцевого самоврядування</t>
  </si>
  <si>
    <t>Кількість  виїздів на попередження надзвичайних ситуацій</t>
  </si>
  <si>
    <t>0731</t>
  </si>
  <si>
    <t xml:space="preserve"> затрат</t>
  </si>
  <si>
    <r>
      <t xml:space="preserve">Мета бюджетної програми:   </t>
    </r>
    <r>
      <rPr>
        <u val="single"/>
        <sz val="12"/>
        <color indexed="8"/>
        <rFont val="Times New Roman"/>
        <family val="1"/>
      </rPr>
      <t>Підвищення рівня надання медичної допомоги та збереження здоров’я населення</t>
    </r>
  </si>
  <si>
    <t xml:space="preserve">Завдання1. Забезпечення надання населенню амбулаторно-поліклінічної допомоги </t>
  </si>
  <si>
    <t>ЗАТВЕРДЖЕНО                                                                                                    Наказ Міністерства фінансів України 26 серпня 2014 року N 836                                                         (у редакції наказу Міністерства фінансів України від 29 грудня 2018 року N 1209)</t>
  </si>
  <si>
    <t>Конституція України зі змінами та доповненнями</t>
  </si>
  <si>
    <t>Наказ Міністерства праці та соціальної політики України та Міністерства охорони здоров’я України від 05.10.2005 № 308/519 «Про впорядкування умов оплати працівників закладів охорони здоров’я та установ соціального захисту населення» зі змінами</t>
  </si>
  <si>
    <t>обсяги видатків на придбання обладнання та предметів довгострокового користування (ноутбук, генератор дизельний, портативна радіостанція)</t>
  </si>
  <si>
    <t>кількість предметів та матеріалів, які планується придбати</t>
  </si>
  <si>
    <t>кількість предметів довгострокового користування, які планується придбати</t>
  </si>
  <si>
    <t>витрати на придбання одного маршрутизатора</t>
  </si>
  <si>
    <t>середні витрати на придбання однієї одиниці предметів довгострокового користування</t>
  </si>
  <si>
    <t>Затрати на 1 одиницю</t>
  </si>
  <si>
    <t>Наказ Міністерства фінансів України від 26.08.2014 № 836 "Про  деякі питання  запровадження програмно-цільового методу складання та використання місцевих бюджетів" (у редакції наказу Міністерства фінансів України від 29.12.2018 № 1209)</t>
  </si>
  <si>
    <t>Виготовлення документації із землеустрою на земельні ділянки комунальної власності</t>
  </si>
  <si>
    <t xml:space="preserve">кількість об'єктів, що планується відремонтувати </t>
  </si>
  <si>
    <t>середня вартість ремонту одного об'єкта</t>
  </si>
  <si>
    <t>0610</t>
  </si>
  <si>
    <t>кількість квартир, які планується придбати</t>
  </si>
  <si>
    <t>середні витрати на придбання однієї квартири</t>
  </si>
  <si>
    <t>динаміка кількості придбаних квартир порівняно з попереднім роком</t>
  </si>
  <si>
    <t>динаміка площі придбаних квартир порівняно з попереднім роком</t>
  </si>
  <si>
    <t>кв.м.</t>
  </si>
  <si>
    <t xml:space="preserve"> грн.</t>
  </si>
  <si>
    <t>Всього:</t>
  </si>
  <si>
    <t>Завантаженність ліжкового фонду у звичайних стаціонарах</t>
  </si>
  <si>
    <t>Середня тривалість лікування у стаціонарі одного хворого</t>
  </si>
  <si>
    <t>Зниження показника летальності</t>
  </si>
  <si>
    <t>Обсяг затрат</t>
  </si>
  <si>
    <t>Забезпечення надання населенню стаціонарної медичної допомоги</t>
  </si>
  <si>
    <t>____________________</t>
  </si>
  <si>
    <t>(дата погодження)</t>
  </si>
  <si>
    <t>М.П.</t>
  </si>
  <si>
    <r>
      <t xml:space="preserve">Мета бюджетної програми:   </t>
    </r>
    <r>
      <rPr>
        <u val="single"/>
        <sz val="12"/>
        <color indexed="8"/>
        <rFont val="Times New Roman"/>
        <family val="1"/>
      </rPr>
      <t>Зміцнення та поліпшення здоров’я населення шляхом забезпечення потреб населення у первинній медичній допомозі</t>
    </r>
  </si>
  <si>
    <t>кількість виконаних листів, звернень, скарг, заяв на одного працівника</t>
  </si>
  <si>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</si>
  <si>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</si>
  <si>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</si>
  <si>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</si>
  <si>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</si>
  <si>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</si>
  <si>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</si>
  <si>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Завдання 1. Навчання студентів в вищих навчальних закладах</t>
  </si>
  <si>
    <t>затрати</t>
  </si>
  <si>
    <t>продукт</t>
  </si>
  <si>
    <t>ефективність</t>
  </si>
  <si>
    <t>Середня вартість на навчання одного студента на рік</t>
  </si>
  <si>
    <t>якість</t>
  </si>
  <si>
    <t>Прогнозований відсоток виконання данного завдання затвердженої програми</t>
  </si>
  <si>
    <t>0451</t>
  </si>
  <si>
    <t>Дата погодження</t>
  </si>
  <si>
    <t>шт.</t>
  </si>
  <si>
    <t xml:space="preserve">Завдання 1. Забезпечення надання населенню амбулаторно-поліклінічної допомоги </t>
  </si>
  <si>
    <t xml:space="preserve">Прогнозований відсоток виконання даного завдання затвердженої програми </t>
  </si>
  <si>
    <t>Середня вартість однієї незалежної оцінки комунальної власності</t>
  </si>
  <si>
    <t>0320</t>
  </si>
  <si>
    <r>
      <t xml:space="preserve">Мета бюджетної програми:  </t>
    </r>
    <r>
      <rPr>
        <u val="single"/>
        <sz val="12"/>
        <color indexed="8"/>
        <rFont val="Times New Roman"/>
        <family val="1"/>
      </rPr>
      <t>Запобігання та ліквідація надзвичайних ситуацій та наслідків стихійного лиха</t>
    </r>
  </si>
  <si>
    <t>Завдання 2.  Підтримка безперебійного функціонування та експлуатаційно-технічне обслуговування засобів системи оповіщення населення про загрозу виникнення НС місцевого рівня</t>
  </si>
  <si>
    <t xml:space="preserve">затрат </t>
  </si>
  <si>
    <t>Кількість  проведених заходів  по оповіщенню населення</t>
  </si>
  <si>
    <t>середня вартість  оповіщення</t>
  </si>
  <si>
    <t>Середні видатки на ліквідацію випадку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</si>
  <si>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</si>
  <si>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</si>
  <si>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</si>
  <si>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</si>
  <si>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</si>
  <si>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</si>
  <si>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</si>
  <si>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</si>
  <si>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</si>
  <si>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</si>
  <si>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</si>
  <si>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</si>
  <si>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</si>
  <si>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тис.од.</t>
  </si>
  <si>
    <t>Виконавчий комітет Лиманської міської ради</t>
  </si>
  <si>
    <t xml:space="preserve">Розпорядження міського голови №        від </t>
  </si>
  <si>
    <t xml:space="preserve">Підстави для виконання бюджетної програми: </t>
  </si>
  <si>
    <t>Обсяг бюджетних призначень/бюджетних асигнувань-</t>
  </si>
  <si>
    <t>Конституція України (зі змінами та доповненнями)</t>
  </si>
  <si>
    <t>Наказ Мінестерства фінансів України від 26.08.2014 № 836 "Про  деякі питання  запровадження програмно-цільового методу складання та використання місцевих бюджетів" (у редакції наказу Міністерства фінансів України від 29.12.2018 № 1209)</t>
  </si>
  <si>
    <t>Бюджетний кодекс України  від 08.07.2010 № 2456-4 (зі змінами)</t>
  </si>
  <si>
    <r>
      <t xml:space="preserve">Мета бюджетної програми:  </t>
    </r>
    <r>
      <rPr>
        <u val="single"/>
        <sz val="12"/>
        <color indexed="8"/>
        <rFont val="Times New Roman"/>
        <family val="1"/>
      </rPr>
      <t>Упорядкування об'єктів комунальної власності Лиманської об'єднаної територіальної громади, отримання даних про їх технічний стан</t>
    </r>
  </si>
  <si>
    <t>Бюджетний кодекс України  від 08.07.2010 № 2456-4 зі змінами</t>
  </si>
  <si>
    <t>Розпорядження міського голови</t>
  </si>
  <si>
    <t>Земельний кодекс України від 25.10.2001 № 2768-III зі змінами</t>
  </si>
  <si>
    <t>Конституція України (зі змінами та доповненями)</t>
  </si>
  <si>
    <t xml:space="preserve">Бюджетний кодекс України  від 08.07.2010 № 2456-4 (зі змінами та доповненнями) </t>
  </si>
  <si>
    <t>обслуговуючий персонал</t>
  </si>
  <si>
    <t>кількість штатних одиниць,    у т.ч.:</t>
  </si>
  <si>
    <r>
      <t xml:space="preserve">Мета бюджетної програми:   </t>
    </r>
    <r>
      <rPr>
        <u val="single"/>
        <sz val="12"/>
        <color indexed="8"/>
        <rFont val="Times New Roman"/>
        <family val="1"/>
      </rPr>
      <t xml:space="preserve">Зниження рівня захворюваності та смертності населення, забезпечення надання медичної допомоги окремих категоріям хворих, забезпечення потреб населення у лікарських засобах </t>
    </r>
  </si>
  <si>
    <t xml:space="preserve"> Забезпечення хворих на цукровий діабет препаратами інсуліну </t>
  </si>
  <si>
    <t xml:space="preserve"> Забезпечення хворих на нецукровий діабет препаратами десмопресину</t>
  </si>
  <si>
    <t>видатки на забезпечення медикаментами хворих на цукровий діабет</t>
  </si>
  <si>
    <t>забезпеченість хворих на цукровий діабет препаратами інсуліну</t>
  </si>
  <si>
    <t>Динаміка кількості хворих на цукровий діабет, забезпечення інсуліном</t>
  </si>
  <si>
    <t xml:space="preserve">осіб </t>
  </si>
  <si>
    <t>Завдання 1. Забезпечення хворих на цукровий діабет препаратами інсуліну</t>
  </si>
  <si>
    <t>Завдання 2. Забезпечення хворих на нецукровий діабет препаратами десмопресину</t>
  </si>
  <si>
    <t>видатки на забезпечення медикаментами хворих на нецукровий діабет</t>
  </si>
  <si>
    <t>Цілі державної політики, на досягнення яких спрямована реалізація бюджетної бюджетної програми</t>
  </si>
  <si>
    <t>№ з/п</t>
  </si>
  <si>
    <t>Ціль державної політики</t>
  </si>
  <si>
    <t>забезпеченість хворих на нецукровий діабет препаратами десмопресину</t>
  </si>
  <si>
    <t>Динаміка кількості хворих на нецукровий діабет, забезпечення препаратами десмопресину</t>
  </si>
  <si>
    <t>грн</t>
  </si>
  <si>
    <t>Програма реалізації іміджевої діяльності Лиманської міської ради на 2017-2020 роки у новій редакції</t>
  </si>
  <si>
    <t>0829</t>
  </si>
  <si>
    <r>
      <t xml:space="preserve">Мета бюджетної програми:   </t>
    </r>
    <r>
      <rPr>
        <u val="single"/>
        <sz val="12"/>
        <color indexed="8"/>
        <rFont val="Times New Roman"/>
        <family val="1"/>
      </rPr>
      <t>Інформування і задоволення творчих потреб інтересів громадян, їх естетичне виховання, розвиток та збагачення духовного потенціалу</t>
    </r>
  </si>
  <si>
    <t>Інформування і задоволення творчих потреб інтересів громадян, їх естетичне виховання, розвиток та збагачення духовного потенціалу</t>
  </si>
  <si>
    <t>в т.ч.обсяги видатків на придбання квітів, вітальних адрес, листівок, привітань, грамот, прапорів, символіки тощо</t>
  </si>
  <si>
    <t xml:space="preserve">в т.ч. обсяги видатків на виплату винагород </t>
  </si>
  <si>
    <t>Придбання квітів, вітальних адрес, листівок, привітань, грамот, прапорів, символіки тощо</t>
  </si>
  <si>
    <t>ЗАТВЕРДЖЕНО                                                                                                    Наказ Міністерства фінансів України 26 серпня 2014 року N 836                                                                  (у редакції наказу Міністерства фінансів України від 29 грудня 2018 року N 1209)</t>
  </si>
  <si>
    <t>Закон України "Про Державний бюджет України на 2019рік" зі змінами</t>
  </si>
  <si>
    <t xml:space="preserve">Т.В.Пилипенко </t>
  </si>
  <si>
    <t xml:space="preserve">П.Ф.Цимідан </t>
  </si>
  <si>
    <t xml:space="preserve">Завдання 2. Забезпечення надання населенню стаціонарної медичної допомоги </t>
  </si>
  <si>
    <t>Кількість установ</t>
  </si>
  <si>
    <t>одиниць</t>
  </si>
  <si>
    <t>у т.ч. лікарів</t>
  </si>
  <si>
    <t>кількість денних стаціонарів</t>
  </si>
  <si>
    <t>кількість ліжок у денних  стаціонарах</t>
  </si>
  <si>
    <t xml:space="preserve">кількість штатних одиниць у стаціонарах денних </t>
  </si>
  <si>
    <t xml:space="preserve">Кількість лікарських відвідувань </t>
  </si>
  <si>
    <t>Кількість ліжко-днів у денних стаціонарах</t>
  </si>
  <si>
    <t>Кількість пролікованих хворих у денних стаціонарах</t>
  </si>
  <si>
    <t>Вартість одного відвідування</t>
  </si>
  <si>
    <t>Кількість пацієнтів на 1 лікаря</t>
  </si>
  <si>
    <t>Рівень виявлення захворювань на ранніх стадіях</t>
  </si>
  <si>
    <t>Рівень виявлення захворювань у осіб працездатного віку на ранніх стадіях</t>
  </si>
  <si>
    <t>Зниження рівня захворюваності порівняно з попереднім роком</t>
  </si>
  <si>
    <t>Проведення нормативної грошової оцінки земель населених пунктів</t>
  </si>
  <si>
    <t>Проведення інвентаризації земель несільськогосподарського призначення</t>
  </si>
  <si>
    <t>Якість</t>
  </si>
  <si>
    <t>Затрат</t>
  </si>
  <si>
    <t>Продукту</t>
  </si>
  <si>
    <t>Ефективності</t>
  </si>
  <si>
    <t>днів</t>
  </si>
  <si>
    <t xml:space="preserve">Зміцнення матеріально-технічної бази </t>
  </si>
  <si>
    <t xml:space="preserve">Завдання 3. Зміцнення матеріально-технічної бази </t>
  </si>
  <si>
    <t>обсяги видатків на придбання предметів та матеріалів (маршрутизатор)</t>
  </si>
  <si>
    <t>Видатки на безкоштовну видачу дiтям молочних сумiшей</t>
  </si>
  <si>
    <t>кiлькiсть хворих, якi отримали медикаменти безкоштовно або на пiльгових умовах</t>
  </si>
  <si>
    <t>кількість дітей, які безкоштовно отримують молочні суміші</t>
  </si>
  <si>
    <t>відсоток забезпеченості заходів по програмі</t>
  </si>
  <si>
    <t>програма</t>
  </si>
  <si>
    <t>(м.куб.)</t>
  </si>
  <si>
    <t>(т.)</t>
  </si>
  <si>
    <t>Начальник фінансового управління/</t>
  </si>
  <si>
    <t>інші енергоносії, в т.ч.:</t>
  </si>
  <si>
    <t>вугілля</t>
  </si>
  <si>
    <t>дрова</t>
  </si>
  <si>
    <t>ЗАТВЕРДЖЕНО                                                                                               Наказ Міністерства фінансів України 26 серпня 2014 року N 836                                                         (у редакції наказу Міністерства фінансів України від 29 грудня 2018 року N 1209)</t>
  </si>
  <si>
    <t>заступник начальника</t>
  </si>
  <si>
    <t>Запланована кількість винагород на поточний рік</t>
  </si>
  <si>
    <t>Вартість 1заходу по придбанню квітів, вітальних адрес, листівок, привітань, грамот, прапорів, символіки тощо</t>
  </si>
  <si>
    <t>Середні витрати на заплановані послуги з виготовлення символіки, стендів, промоційної продукції, друкарські та супутні послуги</t>
  </si>
  <si>
    <t xml:space="preserve">відсоток забезпечення </t>
  </si>
  <si>
    <t xml:space="preserve">захід </t>
  </si>
  <si>
    <t>Обсяги видатків всього:</t>
  </si>
  <si>
    <t>опалювальна площа приміщень вугіллям</t>
  </si>
  <si>
    <t>опалювальна площа приміщень дровами</t>
  </si>
  <si>
    <t>вугілля, т на 1м2</t>
  </si>
  <si>
    <t>дров, м.куб. на 1м2</t>
  </si>
  <si>
    <t>Кількість пролікованих хворих у  стаціонарах</t>
  </si>
  <si>
    <t>ЗАТВЕРДЖЕНО                                                                                                           Наказ Міністерства фінансів України 26 серпня 2014 року N 836                                                         (у редакції наказу Міністерства фінансів України від 29 грудня 2018 року N 1209)</t>
  </si>
  <si>
    <t>ЗАТВЕРДЖЕНО                                                                                                      Наказ Міністерства фінансів України 26 серпня 2014 року N 836                                                         (у редакції наказу Міністерства фінансів України від 29 грудня 2018 року N 1209)</t>
  </si>
  <si>
    <t>Постанова Кабінету Міністрів  України від 28.02.2002 року №228 "Про затвердження Порядку складання, розгляду, затвердження та основних вимог до виконання кошторисів бюджетних установ"</t>
  </si>
  <si>
    <t>кошторис,  довідка про зміни до кошторису</t>
  </si>
  <si>
    <t>Середній розмір винагороди</t>
  </si>
  <si>
    <t>Відсоток забезпечення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</si>
  <si>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</si>
  <si>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</si>
  <si>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</si>
  <si>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</si>
  <si>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</si>
  <si>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</si>
  <si>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</si>
  <si>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</si>
  <si>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</si>
  <si>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0210150</t>
  </si>
  <si>
    <t>0150</t>
  </si>
  <si>
    <t>бюджетної програми місцевого бюджету на 2020 рік</t>
  </si>
  <si>
    <t xml:space="preserve">Закон України "Про Державний бюджет України на 2020рік" </t>
  </si>
  <si>
    <t>Організаційне, інформаційно-аналітичне та матеріально-технічне забезпечення діяльності виконавчого комітету Лиманської міської ради та її виконавчих органів</t>
  </si>
  <si>
    <t>2144</t>
  </si>
  <si>
    <t>0212144</t>
  </si>
  <si>
    <t>"Централізовані заходи з лікування хворих на цукровий та
нецукровий діабет"</t>
  </si>
  <si>
    <t xml:space="preserve">Підвищення якості та ефективності надання медичної допомоги, збереження та зміцнення здоров'я населення, зростання тривалості життя та зниження рівня захворюваності, інвалідності і смертності </t>
  </si>
  <si>
    <t>чоловіків</t>
  </si>
  <si>
    <t>жінок</t>
  </si>
  <si>
    <t>дітей, в т.ч.:</t>
  </si>
  <si>
    <t>хлопчики</t>
  </si>
  <si>
    <t>дівчатки</t>
  </si>
  <si>
    <t>кількість хворих на цукровий діабет, що забезпечуються препаратами інсуліну, в т.ч.:</t>
  </si>
  <si>
    <t>кількість хворих на нецукровий діабет, що забезпечуються препаратами десмопресину, в т.ч.:</t>
  </si>
  <si>
    <t>0214082</t>
  </si>
  <si>
    <t>4082</t>
  </si>
  <si>
    <t>"Інші заходи в галузі культури і мистецтва "</t>
  </si>
  <si>
    <t>Закон України "Про Державний бюджет України на 2020рік"</t>
  </si>
  <si>
    <t>Підвищення рівня проведення заходів, првязаних із відзначенням памятних дат, історичних подій, ювілеїв підприємств, установ, організацій, вшанування видатних людей, урочистих прийомів делегацій</t>
  </si>
  <si>
    <t xml:space="preserve">в т.ч.обсяги видатків на оплату послуг з виготовлення символіки, стендів, промоційної продукції, друкарські та супутні послуги, послуги з розробки та виготовлення промо-роліку </t>
  </si>
  <si>
    <t xml:space="preserve">Заплановані послуги з виготовлення символіки, стендів, промоційної продукції, друкарські та супутні послуги, послуги з розробки та виготовлення промо-роліку </t>
  </si>
  <si>
    <t>0216082</t>
  </si>
  <si>
    <t>6082</t>
  </si>
  <si>
    <t>Подолання дитячої бездогляності і безпритульства, запобігання соціального сирітства, забезпечення дітей-сиріт та дітей позбавлених батьківського піклування та осіб з їх числа житлом з належними умовами життя</t>
  </si>
  <si>
    <r>
      <t xml:space="preserve">Мета бюджетної програми:   </t>
    </r>
    <r>
      <rPr>
        <u val="single"/>
        <sz val="12"/>
        <color indexed="8"/>
        <rFont val="Times New Roman"/>
        <family val="1"/>
      </rPr>
      <t>Забезпечення житлом окремих категорій населення: дітей-сиріт та лікарів</t>
    </r>
  </si>
  <si>
    <t xml:space="preserve">Завдання 2. Придбання житла для лікарів: для сімейного лікаря амбулаторії ЗП-СМ смт. Дробишеве та для лікаря-кардіолога </t>
  </si>
  <si>
    <t>Завдання 1.  Придбання житла для окремих категорій населення відповідно до законодавства (для осіб з числа дітей-сиріт та дітей, позбавлених батьківського піклування)</t>
  </si>
  <si>
    <t>0217130</t>
  </si>
  <si>
    <t>7130</t>
  </si>
  <si>
    <t xml:space="preserve">"Здійснення  заходів із землеустрою"
</t>
  </si>
  <si>
    <t xml:space="preserve">Забезпечення раціонального використання та охорона земель, вдосконалення земельних відносин, наукове обгрунтування розподілу земель за цільовим призначенням з урахуванням державних, громадських та приватних інтересів, формування раціональної землеволодіння і землекористування, створення екологічного сталих агроландшафтів тощо </t>
  </si>
  <si>
    <t xml:space="preserve">Завдання 5. Встановлення і зміна меж адміністративно-територіальних одиниць </t>
  </si>
  <si>
    <r>
      <t xml:space="preserve">Мета бюджетної програми:   </t>
    </r>
    <r>
      <rPr>
        <u val="single"/>
        <sz val="12"/>
        <color indexed="8"/>
        <rFont val="Times New Roman"/>
        <family val="1"/>
      </rPr>
      <t>Проведення нормативної грошової оцінки земель, підготовка земельних торгів, встановлення і зміна  меж, виготовлення документації, проведення інвентаризації земель</t>
    </r>
  </si>
  <si>
    <t>Підготовка, організація та проведення земельних торгів у формі аукціону</t>
  </si>
  <si>
    <t xml:space="preserve"> Встановлення і зміна меж адміністративно-територіальних одиниць </t>
  </si>
  <si>
    <t>Запланована кількість га</t>
  </si>
  <si>
    <t>Затрати на проведення інвентаризації 1га</t>
  </si>
  <si>
    <t>Запланована площа земельних ділянок</t>
  </si>
  <si>
    <t>Затрати на виготовлення документації по запланованій площі земельних ділянок</t>
  </si>
  <si>
    <t>Запланована кількість проектів землеустрою</t>
  </si>
  <si>
    <t>Кількість технічних документацій</t>
  </si>
  <si>
    <t>Затрати на 1 одиницю технічної документації</t>
  </si>
  <si>
    <t>0217350</t>
  </si>
  <si>
    <t>7350</t>
  </si>
  <si>
    <t>"Розроблення схем планування та забудови територій (містобудівної документації)"</t>
  </si>
  <si>
    <t>Планування раціонального використання територій на державному, регіональному, місцевому рівнях та моніторінг стану розроблення і реалізації містобудівної документації на всіх рівнях</t>
  </si>
  <si>
    <t>Завдання 1. Розробка розділу «Інженерно-технічні заходи цивільного захисту (цивільної оборони) на особливий період та мирний час» до Схеми планування території району (в межах Лиманської ОТГ)</t>
  </si>
  <si>
    <t>Завдання 2.  Розробка містобудівної документації «Внесення змін до генерального плану смт Зарічне Лиманського району з розробленням плану зонування»</t>
  </si>
  <si>
    <t>Розробка розділу «Інженерно-технічні заходи цивільного захисту (цивільної оборони) на особливий період та мирний час» до Схеми планування території району (в межах Лиманської ОТГ)</t>
  </si>
  <si>
    <t>Розробка містобудівної документації «Внесення змін до генерального плану смт Зарічне Лиманського району з розробленням плану зонування»</t>
  </si>
  <si>
    <t>Кількість проектів</t>
  </si>
  <si>
    <t>Середня вартість проекта</t>
  </si>
  <si>
    <t>паспорт</t>
  </si>
  <si>
    <t>Завдання 2. Розробка містобудівної документації «Внесення змін до генерального плану смт Зарічне Лиманського району з розробленням плану зонування»</t>
  </si>
  <si>
    <t>0217370</t>
  </si>
  <si>
    <t>7370</t>
  </si>
  <si>
    <t>"Реалізація інших заходів соціально-економічного розвитку територій"</t>
  </si>
  <si>
    <t>Реалізація конкретних заходів, спрямованих на стабілізацію рівня життя всіх верств населення з поступовим підвищенням рівня добробуту</t>
  </si>
  <si>
    <t>Програма "Громадський бюджет Лиманської ОТГ на 2017-2020роки"</t>
  </si>
  <si>
    <t>Кількість студентів, які навчаються за рахунок місцевого бюджету, в т.ч.:</t>
  </si>
  <si>
    <t>чоловіки</t>
  </si>
  <si>
    <t>жінки</t>
  </si>
  <si>
    <t>0217693</t>
  </si>
  <si>
    <t>7693</t>
  </si>
  <si>
    <t>" Інші заходи, пов'язані з економічною діяльністю "</t>
  </si>
  <si>
    <t xml:space="preserve">Створення сприятливих умов для ефективного управління майном комунальної власності територіальної громади та його збереження </t>
  </si>
  <si>
    <t>Запланована кількість незалежних оцінок об'єктів комунальної власності територіальної громади</t>
  </si>
  <si>
    <t>Запланована кількість виготовлення експертної оцінки</t>
  </si>
  <si>
    <t>Середня вартість однієї  інвентаризаційної справи, витягу права власності</t>
  </si>
  <si>
    <t>0218110</t>
  </si>
  <si>
    <t>8110</t>
  </si>
  <si>
    <t>" Заходи із запобігання та ліквідації надзвичайних ситуацій та наслідків стихійного лиха  "</t>
  </si>
  <si>
    <t>Зниження ризику і пом’якшення наслідків надзвичайних ситуацій природного і техногенного характеру, підвищення гарантованого рівня безпеки особистості, суспільства та навколишнього середовища</t>
  </si>
  <si>
    <t>Завдання 1. Проведення збільшення закладки матеріально-технічних засобів в місцевий резерв для попередження ліквідації надзвичайних ситуацій і життєзабезпечення постраждалого населення (закупівля бензину, дизельного пального)</t>
  </si>
  <si>
    <t>0218130</t>
  </si>
  <si>
    <t>8130</t>
  </si>
  <si>
    <t>"  Забезпечення діяльності місцевої пожежної охорони   "</t>
  </si>
  <si>
    <t>Забезпечення належного рівня безпеки життєдіяльності населення, захисту суб’єктів господарювання і територій громад шляхом комплексного надання послуг екстреного реагування</t>
  </si>
  <si>
    <t>Завдання 1. Забезпечення здійсненя контролю за дотриманням протипожежних вимог запобіганням пожежам і нещасним випадкам гасіння пожеж</t>
  </si>
  <si>
    <t>Кількість штатних одиниць, в т. ч.:</t>
  </si>
  <si>
    <t>Рішення міської ради від 19.12.2019р. № 7/73-4518 "Про бюджет Лиманської об'єднаної територіальної громади на 2020рік"</t>
  </si>
  <si>
    <t>Рішення міської ради від 19.12.2019р. № 7/73-4515 "Про внесення змін до структури та чисельності Лиманської міської ради та її виконавчих органів і затвердження в новій редакції"</t>
  </si>
  <si>
    <t>Проведення збільшення закладки матеріально-технічних засобів в місцевий резерв для попередження ліквідації надзвичайних ситуацій і життєзабезпечення постраждалого населення (закупівля бензину, дизельного пального)</t>
  </si>
  <si>
    <t>Програма забезпечення мінімально достатнього рівня безпеки населення і територій Лиманської об'єднаної територіальної громади від надзвичайних ситуацій техногенного та природного характеру на 2020 рік</t>
  </si>
  <si>
    <t>"Багатопрофільна стаціонарна медична допомога населенню"</t>
  </si>
  <si>
    <t>0212010</t>
  </si>
  <si>
    <t>2010</t>
  </si>
  <si>
    <t>Кількість штатних одиниць поліклінічного відділення, в т.ч.:</t>
  </si>
  <si>
    <t>у т.ч. лікарів, в т.ч.:</t>
  </si>
  <si>
    <t>витрати на утримання однієї штатної одиниці, в т.ч.:</t>
  </si>
  <si>
    <t>Рівень забезпеченості коштами</t>
  </si>
  <si>
    <t>Завдання 3. Забезпечення функціонування лікарні в частині оплати комунальних послуг та енергоносіїв</t>
  </si>
  <si>
    <t>вивіз побутових відходів</t>
  </si>
  <si>
    <t>побутових відходів</t>
  </si>
  <si>
    <t>відсоток забезпеченості енергоносіями лікарні до планового показника</t>
  </si>
  <si>
    <t>Обсяг споживання енергоносіїв, у т.ч.:</t>
  </si>
  <si>
    <t>Комплексна програма утримання закладів первинного та вторинного рівня надання медичної допомоги на 2020-2022роки (рішення від 19.12.2019р.  №7/73-4509)</t>
  </si>
  <si>
    <t>Забезпечення функціонування лікарні в частині оплати комунальних послуг та енергоносіїв</t>
  </si>
  <si>
    <t>0212152</t>
  </si>
  <si>
    <t>2152</t>
  </si>
  <si>
    <t>Інші програми та заходи у сфері охорони здоров'я</t>
  </si>
  <si>
    <t>Завдання 1. Забезпечення профілактики захворювань населення та підтримки громадського здоров'я за місцем проживання (перебування)</t>
  </si>
  <si>
    <t>Забезпечення профілактики захворювань населення та підтримки громадського здоров'я за місцем проживання (перебування)</t>
  </si>
  <si>
    <t>обсяг видатків на виконання заходів програми, в т.ч.:</t>
  </si>
  <si>
    <t>придбання комплексної системи захисту інформації, мережевого обладнання для підключення до серверу департаменту охорони здоров'я</t>
  </si>
  <si>
    <t>забезпечення хворих на ВІЛ-інфекцію і СНІД  та профілактика ВІЛ-інфекції</t>
  </si>
  <si>
    <t>забезпечення хворих на туберкульоз та профілактика захворювання</t>
  </si>
  <si>
    <t>забезпечення хворих на цукровий та нецукровий діабет</t>
  </si>
  <si>
    <t>забезпечення хворих на вірусний гепатит С,В</t>
  </si>
  <si>
    <t>забезпечення населення області медичними імунобіологічними препаратами проти вакцинокерованих інфекцій (сказу, правцю, ботулізму, туляремії тощо)</t>
  </si>
  <si>
    <t>забезпечення пільгової категорії населення</t>
  </si>
  <si>
    <t xml:space="preserve">забезпечення ветеранів ВОВ стаціонарною допомогою                                                      </t>
  </si>
  <si>
    <t>забезпечення хворих на гемофілію факторами згортання крові для надання екстреної медичної допомоги</t>
  </si>
  <si>
    <t xml:space="preserve">забезпечення жінок фертільного віку та вагітних </t>
  </si>
  <si>
    <t>безкоштовне харчування дітей малозабезпечених сімей</t>
  </si>
  <si>
    <t>забезпечення хворих на орфанні захворювання</t>
  </si>
  <si>
    <t>середні витрати на придбання комплексної системи захисту інформації, мережевого обладнання для підключення до серверу департаменту охорони здоров'я</t>
  </si>
  <si>
    <t>Розрахунок</t>
  </si>
  <si>
    <t>середні витрати  на одну особу:</t>
  </si>
  <si>
    <t>на обстеження  на ВІЛ-інфекцію і СНІД</t>
  </si>
  <si>
    <t>на обстеження на туберкульоз</t>
  </si>
  <si>
    <t>на обстеження на цукровий та нецукровий діабет</t>
  </si>
  <si>
    <t>на обстеження на вірусний гепатит С, В</t>
  </si>
  <si>
    <t>на забезпечення імунобіологічними препаратами проти вакцинокерованих інфекцій</t>
  </si>
  <si>
    <t>на забезпечення пільгового відпуску лікарських засобів за рецептами лікарів</t>
  </si>
  <si>
    <t>ветеранів ВОВ</t>
  </si>
  <si>
    <t>на обстеження на гемофілію</t>
  </si>
  <si>
    <t>на обстеження на ТОRCH-інфекції</t>
  </si>
  <si>
    <t>на забезпечення безкоштовним харчуванням (дітей малозабезпечених сімей)</t>
  </si>
  <si>
    <t>на забезпечення хворих на орфанні захворювання</t>
  </si>
  <si>
    <t>кількість комплексних систем захисту інформації, що планується підключити</t>
  </si>
  <si>
    <t>кількість осіб, що планується обстежити на ВІЛ-інфекції/СНІДу, в т.ч.:</t>
  </si>
  <si>
    <t>Статистична звітність</t>
  </si>
  <si>
    <t>кількість осіб, що підлягають туберкулінодіагностиці, в т.ч.:</t>
  </si>
  <si>
    <t>дівчата</t>
  </si>
  <si>
    <t>кількість хворих на цукровий та нецукровий діабет, в т.ч.:</t>
  </si>
  <si>
    <t>кількість осіб, що планується обстежити на вірусні гепатити, в т.ч.:</t>
  </si>
  <si>
    <t>кількість осіб, що планується забезпечити медичними імунобіологічними препаратами проти вакцинокерованих інфекцій (сказу, правцю, ботулізму, туляремії тощо), в т.ч.:</t>
  </si>
  <si>
    <t>кількість хворих пільгової категорій, що заплановано забезпечити безоплатним та пільговим відпуском медикаментів, в т.ч.:</t>
  </si>
  <si>
    <t>кількість ветеранів ВОВ, в т.ч.:</t>
  </si>
  <si>
    <t>кількість хворих на гемофілію, в т.ч.:</t>
  </si>
  <si>
    <t>кількість жінок фертільного віку та вагітних, в т.ч.:</t>
  </si>
  <si>
    <t xml:space="preserve">кількість дітей малозабезпечених сімей, що планується забезпечити безоплатним харчуванням, в т.ч.: </t>
  </si>
  <si>
    <t>кількість хворих на орфанні захворювання, що планується забезпечити лікарськими засобами за рахунок пільгових рецептів та спеціальними продуктами лікувального харчування, в т.ч.:</t>
  </si>
  <si>
    <t xml:space="preserve">рівень забезпечення потреби у коштах </t>
  </si>
  <si>
    <t>зменшення кількості штучного переривання вагітності</t>
  </si>
  <si>
    <t>Внутрішній облік</t>
  </si>
  <si>
    <t xml:space="preserve">вчасне виявлення туберкульозу </t>
  </si>
  <si>
    <t>Завдання 1.  Визначення ринкової вартості нежитлових приміщень та об’єктів комунальної вартості, проведення незалежних оцінок об’єктів комунальної власності, рецензування звіту з незалежної оцінки нерухомого майна</t>
  </si>
  <si>
    <t>Завдання 2.  Послуги з технічної інвентаризації об’єктів нерухомого майна, виготовлення інвентаризаційних справ</t>
  </si>
  <si>
    <t>Послуги з технічної інвентаризації об’єктів нерухомого майна, виготовлення інвентаризаційних справ</t>
  </si>
  <si>
    <t>Завдання 2. Послуги з технічної інвентаризації об’єктів нерухомого майна, виготовлення інвентаризаційних справ</t>
  </si>
  <si>
    <t>Визначення ринкової вартості нежитлових приміщень та об’єктів комунальної вартості, проведення незалежних оцінок об’єктів комунальної власності, рецензування звіту з незалежної оцінки нерухомого майна</t>
  </si>
  <si>
    <t>Завдання 1. Визначення ринкової вартості нежитлових приміщень та об’єктів комунальної вартості, проведення незалежних оцінок об’єктів комунальної власності, рецензування звіту з незалежної оцінки нерухомого майна</t>
  </si>
  <si>
    <t>ЗАТВЕРДЖЕНО                                                                                             Наказ Міністерства фінансів України 26 серпня 2014 року N 836                                                         (у редакції наказу Міністерства фінансів України від 29 грудня 2018 року N 1209)</t>
  </si>
  <si>
    <t>ЗАТВЕРДЖЕНО                                                                                           Наказ Міністерства фінансів України 26 серпня 2014 року N 836                                                         (у редакції наказу Міністерства фінансів України від 29 грудня 2018 року N 1209)</t>
  </si>
  <si>
    <t xml:space="preserve">Придбання житла для лікарів: для сімейного лікаря амбулаторії ЗП-СМ смт. Дробишеве та для лікаря-кардіолога </t>
  </si>
  <si>
    <t>Програми економічного і соціального розвитку Лиманської об'єднаної територіальної громади на 2020 рік (розділ 2.20 "Охорона здоров'я")</t>
  </si>
  <si>
    <t>Придбання житла для окремих категорій населення відповідно до законодавства  (для осіб з числа дітей-сиріт та дітей, позбавлених батьківського піклування)</t>
  </si>
  <si>
    <r>
      <t xml:space="preserve">Програма економічного і
соціального розвитку
Лиманської об'єднаної
територіальної громади на
2020 рік </t>
    </r>
    <r>
      <rPr>
        <sz val="11"/>
        <color indexed="8"/>
        <rFont val="Times New Roman"/>
        <family val="1"/>
      </rPr>
      <t>(від 19.12.2019 № 7/73- 4517) (розділ 2.20 "Охорона здоров'я")</t>
    </r>
  </si>
  <si>
    <t>Програма економічного і соціального розвитку Лиманської об'єднаної територіальної громади на 2020 рік (розділ 2.13 "Впровадження заходів територіального планування")</t>
  </si>
  <si>
    <t xml:space="preserve">Програма економічного і соціального розвитку Лиманської об'єднаної територіальної громади на 2020 рік (розділ 2.26 "Захист населення і територій від надзвичайних ситуацій")                          </t>
  </si>
  <si>
    <t>05501000000</t>
  </si>
  <si>
    <t>0200000</t>
  </si>
  <si>
    <t>0210000</t>
  </si>
  <si>
    <t>посадові особи та службовці місцевого самоврядування, в т.ч.:</t>
  </si>
  <si>
    <t>Рішення міської ради від 19.12.2019р. № 7/73-4518 "Про бюджет Лиманської об'єднаної територіальної громади на 2020рік" зі змінами</t>
  </si>
  <si>
    <t>Рішення міської ради від 19.12.2019р. № 7/73- 4517 "Про затвердження Програми економічного і соціального розвитку Лиманської об'єднаної територіальної громади на 2020 рік"  зі змінами</t>
  </si>
  <si>
    <t>Рішення міської ради від 19.12.2019р. №7/73-4509 "Про затвердження комплексної Програми утримання закладів первинного та вторинного рівня надання медичної допомоги  на 2020-2022 роки"  зі змінами</t>
  </si>
  <si>
    <t>Комплексна програма утримання закладів первинного та вторинного рівня надання медичної допомоги на 2020-2022роки (рішення від 19.12.2019р.  №7/73-4509) зі змінами</t>
  </si>
  <si>
    <t xml:space="preserve">Завдання 2. Зміцнення матеріально-технічної бази </t>
  </si>
  <si>
    <t>обсяг видатків на придбання та встановлення приладу обліку теплової енергії в адміністративній будівлі за адресою: м Лиман, вул. Комунальна, 5</t>
  </si>
  <si>
    <t>Витрати на придбання однієї одиниці медичного обладнання</t>
  </si>
  <si>
    <t>на придбання медичного обладнання</t>
  </si>
  <si>
    <t>на придбання офісних та медичних меблів</t>
  </si>
  <si>
    <t>Завдання 2. Зміцнення матеріально-технічної бази</t>
  </si>
  <si>
    <t>Довідка про натуру від №</t>
  </si>
  <si>
    <t>кількість одиниць приладів обліку теплової енергії, які планується придбати</t>
  </si>
  <si>
    <t>витрати на придбання одного приладу обліку теплової енергії</t>
  </si>
  <si>
    <t>Рішення міської ради від 19.12.2019р. № 7/73- 4517 "Про затвердження Програми економічного і соціального розвитку Лиманської об'єднаної територіальної громади на 2020 рік" зі змінами</t>
  </si>
  <si>
    <r>
      <t>Програма економічного і
соціального розвитку
Лиманської об'єднаної
територіальної громади на
2020 рік та основні
напрями розвитку на 2021 і
2022 роки</t>
    </r>
    <r>
      <rPr>
        <sz val="10"/>
        <color indexed="8"/>
        <rFont val="Times New Roman"/>
        <family val="1"/>
      </rPr>
      <t xml:space="preserve"> (рішення від 19.12.2019 № 7/73- 4517) зі змінами, розділ 2.20 Охорона здоров'я</t>
    </r>
  </si>
  <si>
    <t>Задоволення різнопланових потреб населення, розвиток регіону та інфраструктури, забезпечення доступності різнопланових життєвих благ населення, підвищення рівня та якості життя населення.</t>
  </si>
  <si>
    <t>Рішення міської ради від 19.12.2019 № 7/73- 4517 "Про затвердження Програми економічного і соціального розвитку Лиманської об'єднаної територіальної громади на 2020 рік" зі змінами</t>
  </si>
  <si>
    <t>0217330</t>
  </si>
  <si>
    <t>"Проведення експертної  грошової  оцінки  земельної ділянки чи права на неї"</t>
  </si>
  <si>
    <t>0217650</t>
  </si>
  <si>
    <t>7650</t>
  </si>
  <si>
    <t>Обстеження земельної ділянки, що включає попереднє вивчення ситуації щодо об'єкта та мети оцінки для складання завдання на оцінку, укладання договору про її проведення та обстеження і вивчення ситуації на ринку під час проведення оцінки.</t>
  </si>
  <si>
    <r>
      <t xml:space="preserve">Мета бюджетної програми:   </t>
    </r>
    <r>
      <rPr>
        <u val="single"/>
        <sz val="12"/>
        <color indexed="8"/>
        <rFont val="Times New Roman"/>
        <family val="1"/>
      </rPr>
      <t>Визначення ціни земельної ділянки, що підлягає продажу.</t>
    </r>
  </si>
  <si>
    <t>Завдання 1. Проведення експертної грошової оцінки земельної ділянки, що підлягає продажу, за рахунок авансу, внесеного покупцем земельної ділянки</t>
  </si>
  <si>
    <t>Проведення експертної грошової оцінки земельної ділянки, що підлягає продажу, за рахунок авансу, внесеного покупцем земельної ділянки</t>
  </si>
  <si>
    <t>Прогнозований відсоток виконання даного завдання затверженої програми</t>
  </si>
  <si>
    <t>Завдання 3 Проведення інвентаризації об'єктів майна комунальної власності КНП "Лиманська ЦРЛ" за адресою м. Лиман вул. Незалежності,64</t>
  </si>
  <si>
    <t>кількість об'єктів, що інвентаризується</t>
  </si>
  <si>
    <t>забезпечення вогнезахисту дерев'яними елементами горищ, що планується обробити засобами вогнезахисту</t>
  </si>
  <si>
    <t>виготовлення технічних паспортів будівель, що планується виготовити</t>
  </si>
  <si>
    <t>Кількість одиниць медичного обладнання, що планується придбати</t>
  </si>
  <si>
    <t>Кількість амбулаторій з дерев'яними елементами горищ,що планується обробити засобами вогнезахисту</t>
  </si>
  <si>
    <t>Кількість технічних паспортів будівель, що планується виготовити</t>
  </si>
  <si>
    <t>середні витрати на обробку дерев'яних елементів горищ засобами вогнезахисту однієї  амбулаторії</t>
  </si>
  <si>
    <t>середні витрати на виготовлення одного технічного паспорту будівлі</t>
  </si>
  <si>
    <r>
      <t>Рішення міської ради від 19.12.2019р. № 7/73-4518 "Про бюджет Лиманської об'єднаної територіальної громади на 2020рік"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зі змінами</t>
    </r>
  </si>
  <si>
    <t>Програма розвитку місцевого самоврядування Лиманської об'єднаної територіальної громади на 2020рік  від 19.12.2019р № 7/73-4508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</si>
  <si>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</si>
  <si>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__________________________ № ________________________</t>
  </si>
  <si>
    <t>Будівництво інших об’єктів комунальної власності</t>
  </si>
  <si>
    <t>0550100000</t>
  </si>
  <si>
    <t>Обсяг бюджетних призначень / бюджетних асигнувань -</t>
  </si>
  <si>
    <t>гривень,у тому числі</t>
  </si>
  <si>
    <t>загального фонду</t>
  </si>
  <si>
    <t>гривень,</t>
  </si>
  <si>
    <t>та спеціального фонду -</t>
  </si>
  <si>
    <t>гривень.</t>
  </si>
  <si>
    <t>Підстави для виконання бюджетної програми:</t>
  </si>
  <si>
    <t xml:space="preserve">Конституція України (зі змінами та доповненнями); </t>
  </si>
  <si>
    <t>Бюджетний кодекс України від 08.07.2010 № 2456-4 (зі змінами та доповненнями);</t>
  </si>
  <si>
    <t>Закон України "Про Державний бюджет України на 2020 рік" (зі змінами та доповненнями);</t>
  </si>
  <si>
    <t xml:space="preserve">Наказ Міністерства Фінансів України від 26.08.2014 № 836 "Про  деякі питання  запровадження програмно-цільового методу складання та використання місцевих бюджетів" зі змінами; </t>
  </si>
  <si>
    <t>Мета бюджетної програми</t>
  </si>
  <si>
    <t>Поліпшення соціальної інфраструктури міста.</t>
  </si>
  <si>
    <t>Завдання бюджетної програми</t>
  </si>
  <si>
    <t>Реконструкція дитячого майданчика, прилеглої території до будівлі Центра культури та дозвілля ім.Горького, частини тротуарів та дороги по вулиці Незалежності під площу Незалежності в місті Лиман</t>
  </si>
  <si>
    <t>гривень</t>
  </si>
  <si>
    <t>Завдання 1.Реконструкція дитячого майданчика, прилеглої території до будівлі Центра культури та дозвілля ім.Горького, частини тротуарів та дороги по вулиці Незалежності під площу Незалежності в місті Лиман</t>
  </si>
  <si>
    <t>площа території, яка буде використана під площу Незалежності міста Лиман</t>
  </si>
  <si>
    <r>
      <t>м</t>
    </r>
    <r>
      <rPr>
        <sz val="12"/>
        <color indexed="8"/>
        <rFont val="Calibri"/>
        <family val="2"/>
      </rPr>
      <t>²</t>
    </r>
  </si>
  <si>
    <t>Середня вартість 1 м² площі Незалежності</t>
  </si>
  <si>
    <t>прогнозований відсоток виконання завдання даної програми</t>
  </si>
  <si>
    <t>Середня вартість проекту</t>
  </si>
  <si>
    <t>кількість офісних меблів,що планується придбати</t>
  </si>
  <si>
    <t xml:space="preserve">середня вартість 1одиниці меблів </t>
  </si>
  <si>
    <t>середня вартість інвентаризованого об'єкта</t>
  </si>
  <si>
    <t>статистичні данні</t>
  </si>
  <si>
    <t>обсяг видатків на інвентаризацію об'єктів майна комунальної власності КНП "Лиманська ЦРЛ" за адресою: м. Лиман, вул. Незалежності, 64"</t>
  </si>
  <si>
    <t>Завдання 1. Відшкодування різниці між встановленими та економічно обгрунтованими тарифами на послуги з перевезення пасажирів і багажу автомобільним транспортом на міському маршруті</t>
  </si>
  <si>
    <t>Відшкодування різниці між встановленими та економічно обгрунтованими тарифами на послуги з перевезення пасажирів і багажу автомобільним транспортом на міському маршруті</t>
  </si>
  <si>
    <t>рішення міської ради</t>
  </si>
  <si>
    <t xml:space="preserve">Кількість комунальних підприємств, які потребують відшкодування </t>
  </si>
  <si>
    <t>Тариф на проїзд економічно обгрунтований</t>
  </si>
  <si>
    <t>Тариф на проїзд встановлений</t>
  </si>
  <si>
    <t>Відсоток відшкодування різниці в тарифах комунальним підприємствам до  економічно обгрунтованих тарифів</t>
  </si>
  <si>
    <t>Кількість квартир</t>
  </si>
  <si>
    <t>Середня вартість однієї опалення однієї квартири</t>
  </si>
  <si>
    <t>ЗАТВЕРДЖЕНО                                                                                    Наказ Міністерства фінансів України 26 серпня 2014 року N 836           (у редакції наказу Міністерства фінансів України від 29 грудня 2018 року N 1209)</t>
  </si>
  <si>
    <t>0217412</t>
  </si>
  <si>
    <t>7412</t>
  </si>
  <si>
    <t>"Регулювання цін на послуги місцевого автотранспорту"</t>
  </si>
  <si>
    <t>Розрахункова кількість пасажирів, які користуються автомобільним транспортом на міському маршруті</t>
  </si>
  <si>
    <t>Обсяги видатків для відшкодування різниці між встановленими та економічно обгрунтованими тарифами на послуги з перевезення пасажирів у розрахунку на період березень-жовтень 2020р.</t>
  </si>
  <si>
    <t>Забезпечення противоепідемічних заходів</t>
  </si>
  <si>
    <t>обсяг видатків для придбання тестів</t>
  </si>
  <si>
    <t>кількість тестів</t>
  </si>
  <si>
    <t>Завдання 4. Забезпечення противоепідемічних заходів</t>
  </si>
  <si>
    <t>Проведення інвентаризації об'єктів майна комунальної власності КНП "Лиманська ЦРЛ" за адресою м. Лиман вул. Незалежності,64</t>
  </si>
  <si>
    <t>кошторис,зміни до кошторису</t>
  </si>
  <si>
    <t>Завдання 3. Погашення заборгованості за послуги централізованого опалення за адресою: вул. Привокзальна,будинок №5 квартира 14 м. Лиман, вул. Оборони, будинок 8а квартира №59 м. Лиман</t>
  </si>
  <si>
    <t>Погашення заборгованості за послуги централізованого опалення за адресою: вул. Привокзальна,будинок №5 квартира 14 м. Лиман, вул. Оборони, будинок 8а квартира №59 м. Лиман</t>
  </si>
  <si>
    <t>Програми економічного і соціального розвитку Лиманської об'єднаної територіальної громади на 2020 рік зі змінами</t>
  </si>
  <si>
    <t>Фактична вартість проїзду для населення у розрахунку на період березень-жовтень 2020р.</t>
  </si>
  <si>
    <t>Програма економічного і соціального розвитку Лиманської об'єднаної територіальної громади на 2020 рік зі змінами</t>
  </si>
  <si>
    <t xml:space="preserve">Рішення міської ради від 19.12.2019 № 7/73-4518 "Про бюджет Лиманської об'єднаної територіальної громади на 2020 рік" зі змінами </t>
  </si>
  <si>
    <t>Рішення міської ради від 19.12.2019 №7/73-4473 "Про затвердження Програми реформування, розвитку житлово-комунального господарства та благоустрою території Лиманської об'єднаної територіальної громади на 2020 рік" зі змінами</t>
  </si>
  <si>
    <t xml:space="preserve">Регулювання цін на послуги місцевого автотраспорту. </t>
  </si>
  <si>
    <t>Мета бюджетної програми:   Забезпечення належної та безперебійної роботи автомобільного транспорту на міському маршруті</t>
  </si>
  <si>
    <t>Закон України "Про Державний бюджет України на 2020рік" зі змінами</t>
  </si>
  <si>
    <t xml:space="preserve">Програма економічного і соціального розвитку Лиманської об'єднаної територіальної громади на 2020 рік зі змінами </t>
  </si>
  <si>
    <t>Програма розвитку місцевого самоврядування Лиманської об'єднаної територіальної громади на 2020рік зі змінами</t>
  </si>
  <si>
    <t>обсяг видатків для придбання ГСМ</t>
  </si>
  <si>
    <t>кількість літрів</t>
  </si>
  <si>
    <t xml:space="preserve">середня вартість 1 л </t>
  </si>
  <si>
    <t>Закон України "Про Державний бюджет України на 2020рік"зі змінами</t>
  </si>
  <si>
    <t>Рішення міської ради від 19.12.2019р. № 7/73-4518 "Про бюджет Лиманської об'єднаної територіальної громади на 2020рік"зі змінами</t>
  </si>
  <si>
    <t>Рішення міської ради від 19.12.2019 № 7/73- 4517 "Про затвердження Програми економічного і соціального розвитку Лиманської об'єднаної територіальної громади на 2020 рік "  зі змінами</t>
  </si>
  <si>
    <t xml:space="preserve">Затрат </t>
  </si>
  <si>
    <t>Якості</t>
  </si>
  <si>
    <t>Закон України "Про Державний бюджет України на 2020рік"  зі змінами</t>
  </si>
  <si>
    <t>Рішення міської ради від 19.12.2019 №7/73-4478 "Про затвердження Програми забезпечення мінімально достатнього рівня безпеки населення і територій Лиманської об'єднаної територіальної громади від надзвичайних ситуацій техногенного та природного характеру на 2020 рік" зі змінами</t>
  </si>
  <si>
    <t>Рішення міської ради від 19.12.2019 № 7/73- 4517 "Про затвердження Програми економічного і соціального розвитку Лиманської об'єднаної територіальної громади на 2020 рік"   зі змінами</t>
  </si>
  <si>
    <t>Зміцнення матеріально-технічної бази</t>
  </si>
  <si>
    <t>Завдання 4. Зміцнення матеріально-технічної бази</t>
  </si>
  <si>
    <t>Кількість медичного обладнання</t>
  </si>
  <si>
    <t>обсяг видатків для придбання засобів ідивідуального захисту</t>
  </si>
  <si>
    <t>кількість одиниць засобів індивідуального захисту</t>
  </si>
  <si>
    <t>середня вартість однієї одиниці індивідуального захисту</t>
  </si>
  <si>
    <t>обсяг видатків на придбання дезинфікуючих засобів і антисептиків</t>
  </si>
  <si>
    <t>кількість дезенфікуючих засобів і антисептиків</t>
  </si>
  <si>
    <t>середня вартість одного дезинфікуючого засобу та антисептика</t>
  </si>
  <si>
    <t>Придбання у комунальну власність квартир для надання у тимчасове користування внутрішньо переміщеним особам</t>
  </si>
  <si>
    <t>Завдання 3.Придбання у комунальну власність квартир для надання у тимчасове користування внутрішньо переміщеним особам</t>
  </si>
  <si>
    <t>придбання віконних та дверних блоків з однокамерним склопакетом</t>
  </si>
  <si>
    <t>придбання медичного обладнання</t>
  </si>
  <si>
    <t>кількість блоків</t>
  </si>
  <si>
    <t>середня вартість 1 блоку</t>
  </si>
  <si>
    <t>кількість одиниць медичного обладнання</t>
  </si>
  <si>
    <t>середня вартість однієї одиниці медичного обладнання</t>
  </si>
  <si>
    <t>Середня вартість лікування у стаціонарі одного хворого</t>
  </si>
  <si>
    <t>Зміни до кошторису</t>
  </si>
  <si>
    <t>Кількість придбання медичного обладнання</t>
  </si>
  <si>
    <t>середні витрати  на одну одиницю:</t>
  </si>
  <si>
    <t>середні витрати  на придбання одного медичного обладнання</t>
  </si>
  <si>
    <t>відс.</t>
  </si>
  <si>
    <t>Рішення міської ради від 19.12.2019 № 7/73- 4517 "Про затвердження Програми економічного і соціального розвитку Лиманської об'єднаної територіальної громади на 2020 рік"  зі змінами</t>
  </si>
  <si>
    <t>придбання господарчих товарів</t>
  </si>
  <si>
    <t>придбання меблів офісних для ординаторської хірургічного віділення</t>
  </si>
  <si>
    <t>кількість господарчих товарів, що планується придбати</t>
  </si>
  <si>
    <t>середня вартість за 1 одиницю меблів</t>
  </si>
  <si>
    <t>середня вартість за 1 одиницю господарчих товарів</t>
  </si>
  <si>
    <t>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</t>
  </si>
  <si>
    <t xml:space="preserve">Рішення міської ради від 19.12.2019р. № 7/73-4518 "Про бюджет Лиманської об'єднаної територіальної громади на 2020рік"зі змінами </t>
  </si>
  <si>
    <t>Програми економічного і соціального розвитку Лиманської об'єднаної територіальної громади на 2020 рік (розділ 2.14 "Розвиток земельних відносин") зі змінами</t>
  </si>
  <si>
    <t xml:space="preserve">Рішення міської ради від 19.12.2019 № 7/73-4517 "Про затвердження Програми економічного і соціального розвитку Лиманської об'єднаної територіальної громади на 2020 рік" зі змінами </t>
  </si>
  <si>
    <t>Виготовлення проектно-кошторисних документацій</t>
  </si>
  <si>
    <t>Завдання 2.Виготовлення проектно-кошторисних документацій</t>
  </si>
  <si>
    <t xml:space="preserve">Завдання 3.Капітальний ремонт адміністративних будівель </t>
  </si>
  <si>
    <t>Середня вартість одного ремонту</t>
  </si>
  <si>
    <t xml:space="preserve">Рішення міської ради від 19.12.2019р. № 7/73-4518 "Про бюджет Лиманської об'єднаної територіальної громади на 2020рік" зі змінами </t>
  </si>
  <si>
    <t>Завдання 2.  Проведення експертизи містобудівної документації «Схема планування території району (в межах Лиманської ОТГ)»</t>
  </si>
  <si>
    <t>Завдання 3. Проведення експертизи містобудівної документації «Внесення змін до генерального плану м.Лиман Донецької області з розробленням плану зонування та детальних планів окремих територій»</t>
  </si>
  <si>
    <t>Рішення міської ради від 19.12.2019  №7/73-4470 "Про затвердження Програми по проведенню технічної інвентаризації об’єктів комунальної власності Лиманської об'єднаної територіальної громади на 2020 рік"  зі змінами</t>
  </si>
  <si>
    <t>Програма по проведенню технічної інвентаризації об’єктів комунальної власності Лиманської об'єднаної територіальної громади (рішення міської ради від 19.12.2019  №7/73-4470) зі змінами</t>
  </si>
  <si>
    <r>
      <t xml:space="preserve">Програма економічного і
соціального розвитку
Лиманської об'єднаної
територіальної громади на
2020 рік </t>
    </r>
    <r>
      <rPr>
        <sz val="11"/>
        <color indexed="8"/>
        <rFont val="Times New Roman"/>
        <family val="1"/>
      </rPr>
      <t>(від 19.12.2019 № 7/73- 4517) (розділ 2.18 "Захист прав дітей-сиріт та дітей, позбавлених батьківського піклування")зі змінами</t>
    </r>
  </si>
  <si>
    <t>Програма економічного і соціального розвитку Лиманської об'єднаної територіальної громади на 2020 рік, 2.23Заходи пов'язані з наслідками проведення ООС та АТО на території області. Підтримка внутрішньо переміщених осіб зі змінами</t>
  </si>
  <si>
    <t>Придбання медичного обладнання (гістероскоп, професійний дефібрилятор експертного рівня, пульсоксиметр, інфузійний насос, кисневий концентратор, хірургічний аспіратор)</t>
  </si>
  <si>
    <t>Придбання меблів</t>
  </si>
  <si>
    <t>Кількість меблів</t>
  </si>
  <si>
    <t>поточний ремонт приміщення під стоматологічне відділення за адресою по вул. Гасієва 36а.</t>
  </si>
  <si>
    <t>кількість ремонтів</t>
  </si>
  <si>
    <t>середня вартість ремонту</t>
  </si>
  <si>
    <t xml:space="preserve">придбання  криптографічних засобів захисту інформації </t>
  </si>
  <si>
    <t xml:space="preserve">кількість криптографічних засобів захисту інформації </t>
  </si>
  <si>
    <t xml:space="preserve">середня вартість криптографічних засобів захисту інформації </t>
  </si>
  <si>
    <t>Рішення міської ради від 19.12.2019р. № 7/73-4513 "Про внесення змін до Програми реалізації іміджевої діяльності  Лиманської міської ради на 2017-2020 роки, затвердженої рішенням міської ради від 23.12.2016 № 7/22-985 та затвердження в новій редакції" зі змінами</t>
  </si>
  <si>
    <t>Капітальний ремонт газопроводу високого тиску(заміна анодного заземлення КСС 1200 с. Масляківка</t>
  </si>
  <si>
    <t>Завдання 4.Капітальний ремонт газопроводу високого тиску(заміна анодного заземлення КСС 1200 с. Масляківка</t>
  </si>
  <si>
    <t>Завдання 1. Проведення інвентаризації земель несільськогосподарського призначення</t>
  </si>
  <si>
    <t>Завдання 2. Підготовка, організація та проведення земельних торгів у формі аукціону</t>
  </si>
  <si>
    <t>Завдання 3. Виготовлення документації із землеустрою на земельні ділянки комунальної власності</t>
  </si>
  <si>
    <t>Завдання 2.  Підготовка, організація та проведення земельних торгів у формі аукціону</t>
  </si>
  <si>
    <t>виготовлення енергетичного сертифікату будівлі амбулаторії ЗПСМ смт Дробишево</t>
  </si>
  <si>
    <t>кількість енергетичних сертифікатів</t>
  </si>
  <si>
    <t>середня вартість сертифікату</t>
  </si>
  <si>
    <t>Завдання4.Розроблення звіту з стратегічної екологічної оцінки проекту: Програма економічного і соціального розвитку Лиманської об'єднаної територіальної громади на 2021 рік"</t>
  </si>
  <si>
    <t>Для погодження  Програми економічного і соціального розвитку Лиманської об'єднаної територіальної громади на 2021 рік</t>
  </si>
  <si>
    <t xml:space="preserve"> кількість стратегічних оцінки</t>
  </si>
  <si>
    <t>Середня вартість однієї  стратегічної оцінки</t>
  </si>
  <si>
    <t>Завдання 3.Погашення заборгованості за послуги централізованого опалення за адресою: вул. Привокзальна,будинок №5 квартира 14 м. Лиман, вул. Оборони, будинок 8а квартира №59 м. Лиман</t>
  </si>
  <si>
    <t>Завдання4.Розроблення звіту з стратегічної екологічної оцінки проекту: "Програма економічного і соціального розвитку Лиманської об'єднаної територіальної громади на 2021 рік"</t>
  </si>
  <si>
    <t>технічне обстеження приміщень амбулаторій</t>
  </si>
  <si>
    <t>кількість амбулаторій</t>
  </si>
  <si>
    <t>середня вартість обстеження</t>
  </si>
  <si>
    <t>Завдання 5.Противоепідемічні заходи</t>
  </si>
  <si>
    <t>Придбання медичного обладнання (кисневий концентратор)</t>
  </si>
  <si>
    <t>Завдання 5. Противоепідемічні заходи</t>
  </si>
  <si>
    <t>Противоепідемічні заходи</t>
  </si>
  <si>
    <t>обсяг видатків на придбання кисню медичного</t>
  </si>
  <si>
    <t>кількість балонів</t>
  </si>
  <si>
    <t>середня вартість балона</t>
  </si>
  <si>
    <t>0216083</t>
  </si>
  <si>
    <t>6083</t>
  </si>
  <si>
    <t>Проектні, будівелько-ремонтні роботи, придбання житла та  приміщень для розвитку сімейних та інших  форм виховання, наближених до сімейних, та забезпечення житлом дітей-сиріт, дітей позбавлених батьківського піклування,осіб з їх числа</t>
  </si>
  <si>
    <t xml:space="preserve">Придбання житла для окремих категорій населення відповідно до законодавства </t>
  </si>
  <si>
    <t>Надання грошової компенсації за проектно, будівельно-монтажні роботи, придбання житла та приміщень для розвитку сімейних та інших форм виховання,наближених до сімейних, та забезпечення житлом дітей сиріт,дітей, позбавлених батьківського піклування, осіб з їх числа</t>
  </si>
  <si>
    <r>
      <t>Мета бюджетної програми:   Забезпечення н</t>
    </r>
    <r>
      <rPr>
        <u val="single"/>
        <sz val="12"/>
        <color indexed="8"/>
        <rFont val="Times New Roman"/>
        <family val="1"/>
      </rPr>
      <t>адання грошової компенсації за проектно, будівельно-монтажні роботи, придбання житла та приміщень для розвитку сімейних та інших форм виховання,наближених до сімейних, та забезпечення житлом дітей сиріт,дітей, позбавлених батьківського піклування, осіб з їх числа</t>
    </r>
  </si>
  <si>
    <t>Виплата грошової компенсації  для отримання житлового приміщення дітей сиріт,дітей, позбавлених батьківського піклування, осіб з їх числа</t>
  </si>
  <si>
    <t>Завдання 1. Виплата грошової компенсації  для отримання житлового приміщення дітей сиріт,дітей, позбавлених батьківського піклування, осіб з їх числа</t>
  </si>
  <si>
    <t>0217322</t>
  </si>
  <si>
    <t>7322</t>
  </si>
  <si>
    <t xml:space="preserve">"Будівництво медичних установ та закладів"
</t>
  </si>
  <si>
    <t>Забезпечення реалізації заходів щодо ефективного функціонування закладів охорони здоров'я, покращення доступності та якості надання медичної допомоги населенню</t>
  </si>
  <si>
    <r>
      <t xml:space="preserve">Мета бюджетної програми:   </t>
    </r>
    <r>
      <rPr>
        <u val="single"/>
        <sz val="12"/>
        <color indexed="8"/>
        <rFont val="Times New Roman"/>
        <family val="1"/>
      </rPr>
      <t>Створення належних умов для функціонування закладів  охорони здоров'я,зручності відвідування та перебування пацієнтів в лікувальних закладах, створення належних умов лікування, покращення матеріально-технічної бази закладів охорони здоров'я.</t>
    </r>
  </si>
  <si>
    <t>Завдання 1. Виготовлення робочого проекту по об'єкту  "Капітальний ремонт інжинерних мереж амбулаторії ЗП -СМ смт Зарічне технічний ресурс яких вичерпано за адресою вул. Центральна,104 смт Зарічне Лиманського району Донецької області</t>
  </si>
  <si>
    <t>Виготовлення робочого проекту по об’єкту " Капітальний ремонт інженерних мереж амбулаторії ЗП- СМ смт. Зарічне технічний ресурс яких вичерпано, за алресою: вул. Центральна104 смт. Зарічне Лиманський р-н, Донецька область"</t>
  </si>
  <si>
    <t>Завдання 1. Виготовлення робочого проекту по об’єкту " Капітальний ремонт інженерних мереж амбулаторії ЗП- СМ смт. Зарічне технічний ресурс яких вичерпано, за алресою: вул. Центральна104 смт. Зарічне Лиманський р-н, Донецька область"</t>
  </si>
  <si>
    <t>Обсяг видатків на виготовлення робочого проекту</t>
  </si>
  <si>
    <t>Рахунок, План використання на 2020 рік</t>
  </si>
  <si>
    <t>Кількість об'єктів, для яких планується виготовлення робочого проекту</t>
  </si>
  <si>
    <t>Облікові дані</t>
  </si>
  <si>
    <t>Середні витрати на виготовлення робочого проекту</t>
  </si>
  <si>
    <t>рівень готовності виготовлення робочого проекту</t>
  </si>
  <si>
    <t>Завдання 2. .Зміцнення матеріально-технічної бази для надання можливості працівникам "Лиманського центра безпеки громадян" проводити навчання з до медичної допомоги серед мешканців громади.</t>
  </si>
  <si>
    <t>Зміцнення матеріально-технічної бази для надання можливості працівникам "Лиманського центра безпеки громадян" проводити навчання з до медичної допомоги серед мешканців громади.</t>
  </si>
  <si>
    <t>Завдання 2.Зміцнення матеріально-технічної бази для надання можливості працівникам "Лиманського центра безпеки громадян" проводити навчання з до медичної допомоги серед мешканців громади.</t>
  </si>
  <si>
    <t>кількість одиниць</t>
  </si>
  <si>
    <t>уп</t>
  </si>
  <si>
    <t>середня вартість однієї упаковки теста</t>
  </si>
  <si>
    <t>забезпечення медикаментами та виробами медичного призначення</t>
  </si>
  <si>
    <t>кількість хворих що планується забезпечити медикаментами та виробами медичного призначення, в т.ч.:</t>
  </si>
  <si>
    <t xml:space="preserve">на забезпечення хворих </t>
  </si>
  <si>
    <t>Середні витрати на одну добу простою</t>
  </si>
  <si>
    <t>діб</t>
  </si>
  <si>
    <t xml:space="preserve">Кількість діб карантину </t>
  </si>
  <si>
    <t>Кількість водіїв на простої</t>
  </si>
  <si>
    <t>Завдання 1.Фінансова підтримка КП «Лиманська СЄЗ» (компенсація збитків за міські перевезення, відшкодування заробітної плати водіям та нарахування на заробітну плату за період простою за період карантину)</t>
  </si>
  <si>
    <t>Програма економічного і соціального розвитку Лиманської об'єднаної територіальної громади на 2020 рік  зі змінами (2.30. "Інші заходи у сфері автотранспорту")</t>
  </si>
  <si>
    <t>Фінансова підтримка КП «Лиманська СЄЗ» (компенсація збитків за міські перевезення, відшкодування заробітної плати водіям та нарахування на заробітну плату за період простою за період карантину)</t>
  </si>
  <si>
    <r>
      <t xml:space="preserve">Мета бюджетної програми:   </t>
    </r>
    <r>
      <rPr>
        <u val="single"/>
        <sz val="12"/>
        <color indexed="8"/>
        <rFont val="Times New Roman"/>
        <family val="1"/>
      </rPr>
      <t>Покращення умов утримання службового автотранспорту, надання послуг з перевезення пасажирів.</t>
    </r>
  </si>
  <si>
    <t>Покращення умов утримання службового автотранспорту, надання послуг з перевезення пасажирів, забезпечення належної та безперебійної роботи автомобільного транспорту на міському маршруті</t>
  </si>
  <si>
    <t>Рішення міської ради від 19.12.2019 № 7/73-4517 "Про затвердження Програми економічного і соціального розвитку Лиманської об'єднаної територіальної громади на 2020 рік" зі змінами від 20.08.2020 №7/83-5855.</t>
  </si>
  <si>
    <t>Рішення міської ради від 19.12.2019 № 7/73-4518 "Про бюджет Лиманської об'єднаної територіальної громади на 2020 рік" зі змінами від 03.11.2020 №7/87-6221;</t>
  </si>
  <si>
    <t>Наказ Мінестерства фінансів України від 26.08.2014 № 836 "Про  деякі питання  запровадження програмно-цільового методу складання та використання місцевих бюджетів" (у редакції наказу Міністерства фінансів Ураїни від 29.12.2018 № 1209)</t>
  </si>
  <si>
    <t>"Інші заходи у сфері автотранспорту"</t>
  </si>
  <si>
    <t>7413</t>
  </si>
  <si>
    <t>0217413</t>
  </si>
  <si>
    <t>ЗАТВЕРДЖЕНО                                                                                                  Наказ Міністерства фінансів України 26 серпня 2014 року N 836                                                         (у редакції наказу Міністерства фінансів України від 29 грудня 2018 року N 1209)</t>
  </si>
  <si>
    <t>М. П.</t>
  </si>
  <si>
    <t>(ініціали/ініціал, прізвище)</t>
  </si>
  <si>
    <t>Начальник фінансового управління</t>
  </si>
  <si>
    <t>Фінансове управління Лиманської міської ради</t>
  </si>
  <si>
    <t>середня вартість одного об’єкту, на який планується виготовити або коригувати проектно-кошторисну документацію</t>
  </si>
  <si>
    <t>Кількість об’єктів, на які планується виготовити або коригувати проектно-кошторисну документацію</t>
  </si>
  <si>
    <t>Завдання 2. Розробка проектно-кошторисної документації та коригування існуючої ПКД.</t>
  </si>
  <si>
    <t>Середня вартість одного об’єкта, на якому планується проведення капітального ремонту</t>
  </si>
  <si>
    <t>Кількість об’єктів, на яких планується проведення капітального ремонту</t>
  </si>
  <si>
    <t>Завдання 1. Капітальний ремонт об’єктів житлово-комунального господарства міста і утримання їх у належному стані.</t>
  </si>
  <si>
    <t>Розробка проектно-кошторисної документації та коригування існуючої ПКД.</t>
  </si>
  <si>
    <t>Капітальний ремонт об’єктів житлово-комунального господарства міста і утримання їх у належному стані.</t>
  </si>
  <si>
    <t>Забезпечення розвитку інфраструктури міста. Підвищення експлуатаційних властивостей об’єктів житлово-комунального господарства міста і утримання їх у належному стані.</t>
  </si>
  <si>
    <t>Реалізація державної політики щодо забезпечення стабільного та ефективного функціонування житлово-комунального
господарства міста</t>
  </si>
  <si>
    <t>Рішення міської ради від 19.12.2019 №7/73-4473 "Про затвердження Програми реформування, розвитку житлово-комунального господарства та благоустрою території Лиманської об'єднаної територіальної громади на 2020 рік" зі змінами від 09.10.2020 №7/85-6202.</t>
  </si>
  <si>
    <t>Рішення міської ради від 19.12.2019 № 7/73-4517 "Про затвердження Програми економічного і соціального розвитку Лиманської об'єднаної територіальної громади на 2020 рік" зі змінами від 09.10.2020 №7/85-6206.</t>
  </si>
  <si>
    <t>Будівництво¹ об'єктів житлово-комунального господарства</t>
  </si>
  <si>
    <t>0217310</t>
  </si>
  <si>
    <t>середньомісячні витрати на проведення капітального ремонту об'єктів благоустрою міста, сіл, селищ</t>
  </si>
  <si>
    <t>запланована кількість груп щодо проведення капітального ремонту об'єктів благоустрою міста, сіл, селищ</t>
  </si>
  <si>
    <t>Завдання 3. Капітальний ремонт об'єктів благоустрою</t>
  </si>
  <si>
    <t>середньомісячні витрати на проведення поточного ремонту об'єктів благоустрою міста, сіл, селищ</t>
  </si>
  <si>
    <t>запланована кількість груп щодо проведення поточного ремонту об'єктів благоустрою міста, сіл, селищ</t>
  </si>
  <si>
    <t>Завдання 2. Поточний ремонт об'єктів благоустрою</t>
  </si>
  <si>
    <t>середньомісячні витрати на облаштування, забезпечення та утримання в належному стані об'єктів благоустрою міста, сіл, селищ</t>
  </si>
  <si>
    <t>запланована кількість груп щодо утримання об'єктів благоустрою міста, сіл, селищ</t>
  </si>
  <si>
    <t>Завдання 1. Утримання об'єктів благоустрою</t>
  </si>
  <si>
    <t>Капітальний ремонт об'єктів благоустрою</t>
  </si>
  <si>
    <t>Поточний ремонт об'єктів благоустрою</t>
  </si>
  <si>
    <t>Утримання об'єктів благоустрою</t>
  </si>
  <si>
    <t>Проведення капітального ремонту об'єктів благоустрою міста, сіл, селищ Лиманської ОТГ</t>
  </si>
  <si>
    <t>Проведення поточного ремонту об'єктів благоустрою міста, сіл, селищ Лиманської ОТГ</t>
  </si>
  <si>
    <t>Облаштування, забезпечення та утримання в належному стані об'єктів благоустрою міста, сіл, селищ Лиманської ОТГ</t>
  </si>
  <si>
    <t>Підвищення рівня благоустрою міста, сіл та селищ Лиманської ОТГ</t>
  </si>
  <si>
    <t>вирівнювання соціально-економічного розвитку регіонів, забезпечення єдиних життєвих стандартів для всіх громадян держави, реалізація конкретних заходів, спрямованих на стабілізацію рівня життя всіх верств населення з поступовим підвищенням рівня добробуту.</t>
  </si>
  <si>
    <t>створення умов для реалізації прав та виконання обов'язків суб'єктами у сфері благоустрою населених пунктів;</t>
  </si>
  <si>
    <t>організація належного утримання та раціонального використання територій, будівель, інженерних споруд та об'єктів рекреаційного, природоохоронного, оздоровчого, історико-культурного та іншого призначення;</t>
  </si>
  <si>
    <t>розроблення і здійснення ефективних і комплексних  заходів з  утримання  територій  населених  пунктів у належному стані,  їх санітарного очищення, збереження об'єктів загального користування, а також природних ландшафтів, інших природних комплексів і об'єктів;</t>
  </si>
  <si>
    <t>Організація благоустрою населених пунктів</t>
  </si>
  <si>
    <t>0620</t>
  </si>
  <si>
    <t>0216030</t>
  </si>
  <si>
    <t>середня вартість одного насосного агрегату</t>
  </si>
  <si>
    <t>середньомісячна вартість утримання та поточного ремонту водопровідних мереж та каналізації міста, сіл та селищ Лиманської ОТГ</t>
  </si>
  <si>
    <t>кількість придбання насосних агрегатів</t>
  </si>
  <si>
    <t>метраж водопровідних мереж міста, сіл та селищ Лиманської ОТГ</t>
  </si>
  <si>
    <t>Програма економічного і соціального розвитку Лиманської об'єднаної територіальної громади на 2020 рік</t>
  </si>
  <si>
    <t>Утримання та поточний ремонт мереж водопостачання та каналізації міста, сіл та селищ Лиманської ОТГ</t>
  </si>
  <si>
    <t>Утримання та поточний ремонт водопровідно-каналізаційного господарства</t>
  </si>
  <si>
    <t>Підвищення експлуатаційних властивостей водопровідно-каналізаційного господарства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</si>
  <si>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підвищення безпеки експлуатації головних каналізаційних станцій.</t>
  </si>
  <si>
    <t xml:space="preserve">запобігання виникненню аварійних ситуацій на водопровідно-каналізаційних об'єктах; </t>
  </si>
  <si>
    <t>реалізація першочергових заходів щодо реконструкції і модернізації водопровідно-каналізаційних систем;</t>
  </si>
  <si>
    <t xml:space="preserve">розвиток та реконструкція систем водопровідно-каналізаційної мережі; </t>
  </si>
  <si>
    <t>Рішення міської ради від 19.12.2019 №7/73-4473 "Про затвердження Програми реформування, розвитку житлово-комунального господарства та благоустрою території Лиманської об'єднаної територіальної громади на 2020 рік" зі змінами від 18.09.2020 №7/84-6095.</t>
  </si>
  <si>
    <t>Рішення міської ради від 19.12.2019 № 7/73-4517 "Про затвердження Програми економічного і соціального розвитку Лиманської об'єднаної територіальної громади на 2020 рік" зі змінами від 18.09.2020 №7/84-6108.</t>
  </si>
  <si>
    <t>Забезпечення діяльності водопровідно-каналізаційного господарства</t>
  </si>
  <si>
    <t>0216013</t>
  </si>
  <si>
    <t>Середня вартість одного кілометру мереж теплопостачання</t>
  </si>
  <si>
    <t>Метраж мереж теплопостачання, на які буде складена схема</t>
  </si>
  <si>
    <t>Розробка енергоефективної схеми оптимізації системи теплопостачання міста Лиман</t>
  </si>
  <si>
    <t>Підвищення експлуатаційних властивостей систем централізованого теплопостачання, підвищення якості послуг з виробництва, транспортування, постачання теплової енергії, забезпечення захисту прав та інтересів споживачів, залучення інвестицій на модернізацію теплового господарства та житлового фонду.</t>
  </si>
  <si>
    <t>періодичного перегляду, удосконалення та техніко-економічної оптимізації схем теплопостачання, затверджуваних місцевими органами виконавчої влади.</t>
  </si>
  <si>
    <t>забезпечення захисту прав та інтересів споживачів;</t>
  </si>
  <si>
    <t>державного управління і регулювання відносин у сфері теплопостачання;</t>
  </si>
  <si>
    <t>забезпечення енергетичної безпеки держави;</t>
  </si>
  <si>
    <t>Рішення міської ради від 19.12.2019 № 7/73-4517 "Про затвердження Програми економічного і соціального розвитку Лиманської об'єднаної територіальної громади на 2020 рік" зі змінами від 20.02.2020 №7/75-4852.</t>
  </si>
  <si>
    <t>Забезпечення діяльності з виробництва, транспортування, постачання теплової енергії</t>
  </si>
  <si>
    <t>0216012</t>
  </si>
  <si>
    <t>середня вартість проведення ремонту житлового фонду</t>
  </si>
  <si>
    <t>кількість об'єктів в яких планується проведення ремонту житлового фонду</t>
  </si>
  <si>
    <t>Утримання, поточний ремонт житлового фонду</t>
  </si>
  <si>
    <t>Утримання, поточний та капітальний ремонт житлового фонду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</si>
  <si>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</si>
  <si>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 xml:space="preserve">забезпечення рівних можливостей доступу до отримання мінімальних норм житлово-комунальних послуг для споживачів незалежно від соціального, майнового стану, віку споживача, місцезнаходження та форми власності юридичних осіб тощо; дотримання встановлених стандартів, нормативів, норм, порядків і правил щодо кількості та якості житлово-комунальних послуг. </t>
  </si>
  <si>
    <t>регулювання цін/тарифів на житлово-комунальні послуги у випадках, визначених законом, з урахуванням досягнутого рівня соціально-економічного розвитку, природних особливостей відповідного регіону та технічних можливостей;</t>
  </si>
  <si>
    <t>забезпечення функціонування підприємств, установ та організацій, що виробляють, виконують та/або надають житлово-комунальні послуги, на умовах самофінансування, досягнення рівня економічно обґрунтованих витрат на виробництво таких послуг;</t>
  </si>
  <si>
    <t xml:space="preserve">створення та підтримання конкурентного середовища при виробленні та наданні житлово-комунальних послуг, забезпечення контролю у сфері діяльності природних монополій; </t>
  </si>
  <si>
    <t xml:space="preserve">забезпечення раціонального використання наявних ресурсів та сталого розвитку житлово-комунального господарства населених пунктів; </t>
  </si>
  <si>
    <t>Експлуатація та технічне обслуговування житлового фонду</t>
  </si>
  <si>
    <t>0216011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</si>
</sst>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;\-#,##0.00"/>
    <numFmt numFmtId="179" formatCode="0.000"/>
    <numFmt numFmtId="180" formatCode="#,##0.0000"/>
    <numFmt numFmtId="181" formatCode="0.0_ "/>
    <numFmt numFmtId="182" formatCode="#,##0.000"/>
    <numFmt numFmtId="183" formatCode="0.0000"/>
    <numFmt numFmtId="184" formatCode="[$-422]d\ mmmm\ yyyy&quot; р.&quot;"/>
    <numFmt numFmtId="185" formatCode="#,##0\ _₴"/>
    <numFmt numFmtId="186" formatCode="0.0000000"/>
    <numFmt numFmtId="187" formatCode="0.000000"/>
    <numFmt numFmtId="188" formatCode="0.00000"/>
    <numFmt numFmtId="189" formatCode="0.00000000"/>
    <numFmt numFmtId="190" formatCode="_-* #,##0.0\ _₴_-;\-* #,##0.0\ _₴_-;_-* &quot;-&quot;??\ _₴_-;_-@_-"/>
    <numFmt numFmtId="191" formatCode="_-* #,##0\ _₴_-;\-* #,##0\ _₴_-;_-* &quot;-&quot;??\ _₴_-;_-@_-"/>
    <numFmt numFmtId="192" formatCode="_-* #,##0.0\ _₴_-;\-* #,##0.0\ _₴_-;_-* &quot;-&quot;\ _₴_-;_-@_-"/>
    <numFmt numFmtId="193" formatCode="_-* #,##0.00\ _₴_-;\-* #,##0.00\ _₴_-;_-* &quot;-&quot;\ _₴_-;_-@_-"/>
    <numFmt numFmtId="194" formatCode="_-* #,##0.000\ _₴_-;\-* #,##0.000\ _₴_-;_-* &quot;-&quot;??\ _₴_-;_-@_-"/>
    <numFmt numFmtId="195" formatCode="_-* #,##0.0000\ _₴_-;\-* #,##0.0000\ _₴_-;_-* &quot;-&quot;??\ _₴_-;_-@_-"/>
    <numFmt numFmtId="196" formatCode="#,##0.00\ _₴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9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7.5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56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77" fontId="8" fillId="0" borderId="0" xfId="0" applyNumberFormat="1" applyFont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" fontId="2" fillId="32" borderId="10" xfId="0" applyNumberFormat="1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177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8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3" fontId="2" fillId="0" borderId="1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3" fontId="64" fillId="0" borderId="10" xfId="0" applyNumberFormat="1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7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63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33" borderId="13" xfId="0" applyFont="1" applyFill="1" applyBorder="1" applyAlignment="1">
      <alignment vertical="top" wrapText="1"/>
    </xf>
    <xf numFmtId="0" fontId="62" fillId="33" borderId="11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vertical="top" wrapText="1"/>
    </xf>
    <xf numFmtId="0" fontId="65" fillId="33" borderId="12" xfId="0" applyFont="1" applyFill="1" applyBorder="1" applyAlignment="1">
      <alignment horizontal="center" vertical="top"/>
    </xf>
    <xf numFmtId="0" fontId="62" fillId="33" borderId="11" xfId="0" applyFont="1" applyFill="1" applyBorder="1" applyAlignment="1">
      <alignment horizontal="center" vertical="top" wrapText="1"/>
    </xf>
    <xf numFmtId="0" fontId="62" fillId="33" borderId="0" xfId="0" applyFont="1" applyFill="1" applyBorder="1" applyAlignment="1">
      <alignment wrapText="1"/>
    </xf>
    <xf numFmtId="0" fontId="63" fillId="33" borderId="0" xfId="0" applyFont="1" applyFill="1" applyAlignment="1">
      <alignment/>
    </xf>
    <xf numFmtId="0" fontId="65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center" wrapText="1"/>
    </xf>
    <xf numFmtId="177" fontId="8" fillId="33" borderId="0" xfId="0" applyNumberFormat="1" applyFont="1" applyFill="1" applyAlignment="1">
      <alignment horizontal="center" vertical="center" wrapText="1"/>
    </xf>
    <xf numFmtId="0" fontId="4" fillId="32" borderId="13" xfId="0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49" fontId="62" fillId="33" borderId="11" xfId="0" applyNumberFormat="1" applyFont="1" applyFill="1" applyBorder="1" applyAlignment="1">
      <alignment horizontal="center" vertical="center" wrapText="1"/>
    </xf>
    <xf numFmtId="49" fontId="62" fillId="33" borderId="11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vertical="top" wrapText="1"/>
    </xf>
    <xf numFmtId="0" fontId="65" fillId="33" borderId="0" xfId="0" applyFont="1" applyFill="1" applyBorder="1" applyAlignment="1">
      <alignment vertical="top" wrapText="1"/>
    </xf>
    <xf numFmtId="0" fontId="62" fillId="33" borderId="0" xfId="0" applyFont="1" applyFill="1" applyBorder="1" applyAlignment="1">
      <alignment vertical="top" wrapText="1"/>
    </xf>
    <xf numFmtId="0" fontId="62" fillId="33" borderId="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right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right" vertical="center" wrapText="1"/>
    </xf>
    <xf numFmtId="41" fontId="4" fillId="33" borderId="10" xfId="0" applyNumberFormat="1" applyFont="1" applyFill="1" applyBorder="1" applyAlignment="1">
      <alignment horizontal="center" vertical="center"/>
    </xf>
    <xf numFmtId="41" fontId="2" fillId="33" borderId="10" xfId="0" applyNumberFormat="1" applyFont="1" applyFill="1" applyBorder="1" applyAlignment="1">
      <alignment horizontal="center" vertical="center" wrapText="1"/>
    </xf>
    <xf numFmtId="41" fontId="4" fillId="33" borderId="10" xfId="0" applyNumberFormat="1" applyFont="1" applyFill="1" applyBorder="1" applyAlignment="1">
      <alignment/>
    </xf>
    <xf numFmtId="41" fontId="4" fillId="33" borderId="10" xfId="0" applyNumberFormat="1" applyFont="1" applyFill="1" applyBorder="1" applyAlignment="1">
      <alignment horizontal="center"/>
    </xf>
    <xf numFmtId="41" fontId="2" fillId="0" borderId="10" xfId="0" applyNumberFormat="1" applyFont="1" applyBorder="1" applyAlignment="1">
      <alignment vertical="center" wrapText="1"/>
    </xf>
    <xf numFmtId="41" fontId="2" fillId="33" borderId="1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top" wrapText="1"/>
    </xf>
    <xf numFmtId="41" fontId="2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41" fontId="5" fillId="0" borderId="10" xfId="0" applyNumberFormat="1" applyFont="1" applyBorder="1" applyAlignment="1">
      <alignment vertical="center" wrapText="1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left" vertical="center"/>
    </xf>
    <xf numFmtId="0" fontId="62" fillId="33" borderId="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1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left" vertical="center"/>
    </xf>
    <xf numFmtId="0" fontId="61" fillId="0" borderId="10" xfId="0" applyFont="1" applyBorder="1" applyAlignment="1">
      <alignment horizontal="left" vertical="center" wrapText="1"/>
    </xf>
    <xf numFmtId="2" fontId="61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 wrapText="1" readingOrder="1"/>
    </xf>
    <xf numFmtId="0" fontId="66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1" fontId="5" fillId="0" borderId="0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43" fontId="61" fillId="0" borderId="10" xfId="0" applyNumberFormat="1" applyFont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43" fontId="2" fillId="32" borderId="10" xfId="0" applyNumberFormat="1" applyFont="1" applyFill="1" applyBorder="1" applyAlignment="1">
      <alignment vertical="center" wrapText="1"/>
    </xf>
    <xf numFmtId="43" fontId="5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3" fontId="2" fillId="33" borderId="10" xfId="0" applyNumberFormat="1" applyFont="1" applyFill="1" applyBorder="1" applyAlignment="1">
      <alignment vertical="center" wrapText="1"/>
    </xf>
    <xf numFmtId="191" fontId="2" fillId="33" borderId="10" xfId="0" applyNumberFormat="1" applyFont="1" applyFill="1" applyBorder="1" applyAlignment="1">
      <alignment vertical="center" wrapText="1"/>
    </xf>
    <xf numFmtId="193" fontId="2" fillId="33" borderId="10" xfId="0" applyNumberFormat="1" applyFont="1" applyFill="1" applyBorder="1" applyAlignment="1">
      <alignment vertical="center" wrapText="1"/>
    </xf>
    <xf numFmtId="41" fontId="2" fillId="33" borderId="10" xfId="0" applyNumberFormat="1" applyFont="1" applyFill="1" applyBorder="1" applyAlignment="1">
      <alignment/>
    </xf>
    <xf numFmtId="41" fontId="2" fillId="33" borderId="10" xfId="0" applyNumberFormat="1" applyFont="1" applyFill="1" applyBorder="1" applyAlignment="1">
      <alignment/>
    </xf>
    <xf numFmtId="193" fontId="2" fillId="33" borderId="10" xfId="0" applyNumberFormat="1" applyFont="1" applyFill="1" applyBorder="1" applyAlignment="1">
      <alignment/>
    </xf>
    <xf numFmtId="41" fontId="61" fillId="0" borderId="10" xfId="0" applyNumberFormat="1" applyFont="1" applyBorder="1" applyAlignment="1">
      <alignment horizontal="center" vertical="center" wrapText="1"/>
    </xf>
    <xf numFmtId="41" fontId="61" fillId="33" borderId="10" xfId="0" applyNumberFormat="1" applyFont="1" applyFill="1" applyBorder="1" applyAlignment="1">
      <alignment horizontal="center" vertical="center" wrapText="1"/>
    </xf>
    <xf numFmtId="41" fontId="10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91" fontId="5" fillId="33" borderId="10" xfId="0" applyNumberFormat="1" applyFont="1" applyFill="1" applyBorder="1" applyAlignment="1">
      <alignment horizontal="center" vertical="center" wrapText="1"/>
    </xf>
    <xf numFmtId="191" fontId="2" fillId="33" borderId="10" xfId="0" applyNumberFormat="1" applyFont="1" applyFill="1" applyBorder="1" applyAlignment="1">
      <alignment horizontal="center" vertical="center"/>
    </xf>
    <xf numFmtId="191" fontId="2" fillId="33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41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/>
    </xf>
    <xf numFmtId="0" fontId="4" fillId="0" borderId="17" xfId="0" applyFont="1" applyFill="1" applyBorder="1" applyAlignment="1">
      <alignment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4" fillId="0" borderId="17" xfId="0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right" vertical="center" wrapText="1"/>
    </xf>
    <xf numFmtId="0" fontId="4" fillId="35" borderId="17" xfId="0" applyFont="1" applyFill="1" applyBorder="1" applyAlignment="1">
      <alignment vertical="center" wrapText="1"/>
    </xf>
    <xf numFmtId="2" fontId="5" fillId="35" borderId="17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right" vertical="center" wrapText="1"/>
    </xf>
    <xf numFmtId="176" fontId="2" fillId="35" borderId="17" xfId="0" applyNumberFormat="1" applyFont="1" applyFill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right" vertical="center" wrapText="1"/>
    </xf>
    <xf numFmtId="0" fontId="17" fillId="35" borderId="18" xfId="0" applyFont="1" applyFill="1" applyBorder="1" applyAlignment="1">
      <alignment vertical="center" wrapText="1"/>
    </xf>
    <xf numFmtId="176" fontId="5" fillId="35" borderId="17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177" fontId="2" fillId="0" borderId="17" xfId="0" applyNumberFormat="1" applyFont="1" applyFill="1" applyBorder="1" applyAlignment="1">
      <alignment horizontal="center" vertical="center" wrapText="1"/>
    </xf>
    <xf numFmtId="177" fontId="2" fillId="0" borderId="17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 horizontal="center" vertical="center" wrapText="1"/>
    </xf>
    <xf numFmtId="3" fontId="2" fillId="36" borderId="17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2" fillId="35" borderId="17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horizontal="left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/>
    </xf>
    <xf numFmtId="0" fontId="20" fillId="35" borderId="17" xfId="0" applyFont="1" applyFill="1" applyBorder="1" applyAlignment="1">
      <alignment vertical="center" wrapText="1"/>
    </xf>
    <xf numFmtId="2" fontId="2" fillId="35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" fontId="5" fillId="35" borderId="17" xfId="0" applyNumberFormat="1" applyFont="1" applyFill="1" applyBorder="1" applyAlignment="1">
      <alignment horizontal="center" vertical="center" wrapText="1"/>
    </xf>
    <xf numFmtId="4" fontId="2" fillId="35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36" borderId="1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3" fontId="2" fillId="35" borderId="17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Border="1" applyAlignment="1">
      <alignment/>
    </xf>
    <xf numFmtId="0" fontId="20" fillId="0" borderId="17" xfId="0" applyFont="1" applyBorder="1" applyAlignment="1">
      <alignment horizontal="left" vertical="center" wrapText="1"/>
    </xf>
    <xf numFmtId="2" fontId="5" fillId="36" borderId="17" xfId="0" applyNumberFormat="1" applyFont="1" applyFill="1" applyBorder="1" applyAlignment="1">
      <alignment horizontal="center" vertical="center" wrapText="1"/>
    </xf>
    <xf numFmtId="176" fontId="2" fillId="36" borderId="17" xfId="0" applyNumberFormat="1" applyFont="1" applyFill="1" applyBorder="1" applyAlignment="1">
      <alignment horizontal="center" vertical="center" wrapText="1"/>
    </xf>
    <xf numFmtId="2" fontId="2" fillId="36" borderId="1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/>
    </xf>
    <xf numFmtId="2" fontId="2" fillId="0" borderId="17" xfId="0" applyNumberFormat="1" applyFont="1" applyBorder="1" applyAlignment="1">
      <alignment horizontal="center" vertical="center" wrapText="1"/>
    </xf>
    <xf numFmtId="4" fontId="22" fillId="0" borderId="17" xfId="0" applyNumberFormat="1" applyFont="1" applyBorder="1" applyAlignment="1">
      <alignment/>
    </xf>
    <xf numFmtId="2" fontId="22" fillId="0" borderId="17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177" fontId="2" fillId="0" borderId="21" xfId="0" applyNumberFormat="1" applyFont="1" applyBorder="1" applyAlignment="1">
      <alignment/>
    </xf>
    <xf numFmtId="0" fontId="5" fillId="35" borderId="17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 vertical="center"/>
    </xf>
    <xf numFmtId="0" fontId="4" fillId="35" borderId="17" xfId="0" applyFont="1" applyFill="1" applyBorder="1" applyAlignment="1">
      <alignment/>
    </xf>
    <xf numFmtId="4" fontId="2" fillId="0" borderId="17" xfId="0" applyNumberFormat="1" applyFont="1" applyBorder="1" applyAlignment="1">
      <alignment vertical="center"/>
    </xf>
    <xf numFmtId="0" fontId="2" fillId="35" borderId="17" xfId="0" applyFont="1" applyFill="1" applyBorder="1" applyAlignment="1">
      <alignment vertical="top" wrapText="1"/>
    </xf>
    <xf numFmtId="3" fontId="2" fillId="0" borderId="17" xfId="0" applyNumberFormat="1" applyFont="1" applyBorder="1" applyAlignment="1">
      <alignment horizontal="right" vertical="center"/>
    </xf>
    <xf numFmtId="0" fontId="7" fillId="35" borderId="17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vertical="top" wrapText="1"/>
    </xf>
    <xf numFmtId="3" fontId="2" fillId="35" borderId="17" xfId="0" applyNumberFormat="1" applyFont="1" applyFill="1" applyBorder="1" applyAlignment="1">
      <alignment/>
    </xf>
    <xf numFmtId="3" fontId="2" fillId="35" borderId="17" xfId="0" applyNumberFormat="1" applyFont="1" applyFill="1" applyBorder="1" applyAlignment="1">
      <alignment horizontal="center"/>
    </xf>
    <xf numFmtId="4" fontId="2" fillId="35" borderId="17" xfId="0" applyNumberFormat="1" applyFont="1" applyFill="1" applyBorder="1" applyAlignment="1">
      <alignment horizontal="center"/>
    </xf>
    <xf numFmtId="4" fontId="2" fillId="35" borderId="17" xfId="0" applyNumberFormat="1" applyFont="1" applyFill="1" applyBorder="1" applyAlignment="1">
      <alignment/>
    </xf>
    <xf numFmtId="0" fontId="6" fillId="35" borderId="17" xfId="0" applyFont="1" applyFill="1" applyBorder="1" applyAlignment="1">
      <alignment vertical="top" wrapText="1"/>
    </xf>
    <xf numFmtId="4" fontId="2" fillId="36" borderId="17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/>
    </xf>
    <xf numFmtId="176" fontId="22" fillId="0" borderId="17" xfId="0" applyNumberFormat="1" applyFont="1" applyFill="1" applyBorder="1" applyAlignment="1">
      <alignment horizontal="center" vertical="center" wrapText="1"/>
    </xf>
    <xf numFmtId="177" fontId="22" fillId="0" borderId="17" xfId="0" applyNumberFormat="1" applyFont="1" applyBorder="1" applyAlignment="1">
      <alignment/>
    </xf>
    <xf numFmtId="3" fontId="22" fillId="0" borderId="17" xfId="0" applyNumberFormat="1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/>
    </xf>
    <xf numFmtId="193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" fontId="61" fillId="0" borderId="10" xfId="0" applyNumberFormat="1" applyFont="1" applyBorder="1" applyAlignment="1">
      <alignment horizontal="center" vertical="center" wrapText="1"/>
    </xf>
    <xf numFmtId="41" fontId="2" fillId="35" borderId="17" xfId="0" applyNumberFormat="1" applyFont="1" applyFill="1" applyBorder="1" applyAlignment="1">
      <alignment horizontal="center"/>
    </xf>
    <xf numFmtId="43" fontId="2" fillId="35" borderId="17" xfId="0" applyNumberFormat="1" applyFont="1" applyFill="1" applyBorder="1" applyAlignment="1">
      <alignment/>
    </xf>
    <xf numFmtId="43" fontId="2" fillId="35" borderId="17" xfId="0" applyNumberFormat="1" applyFont="1" applyFill="1" applyBorder="1" applyAlignment="1">
      <alignment horizontal="center"/>
    </xf>
    <xf numFmtId="191" fontId="2" fillId="35" borderId="17" xfId="0" applyNumberFormat="1" applyFont="1" applyFill="1" applyBorder="1" applyAlignment="1">
      <alignment horizontal="center"/>
    </xf>
    <xf numFmtId="9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5" fillId="33" borderId="12" xfId="0" applyFont="1" applyFill="1" applyBorder="1" applyAlignment="1">
      <alignment horizontal="center" vertical="top" wrapText="1"/>
    </xf>
    <xf numFmtId="49" fontId="62" fillId="33" borderId="11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49" fontId="62" fillId="33" borderId="11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left" vertical="center" wrapText="1"/>
    </xf>
    <xf numFmtId="0" fontId="65" fillId="33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61" fillId="0" borderId="0" xfId="0" applyFont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2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49" fontId="62" fillId="33" borderId="11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left" vertical="center" wrapText="1"/>
    </xf>
    <xf numFmtId="0" fontId="65" fillId="33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61" fillId="0" borderId="0" xfId="0" applyFont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8" fillId="33" borderId="0" xfId="0" applyFont="1" applyFill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70" fillId="33" borderId="0" xfId="0" applyFont="1" applyFill="1" applyAlignment="1">
      <alignment horizontal="center" vertical="top" wrapText="1"/>
    </xf>
    <xf numFmtId="49" fontId="68" fillId="33" borderId="0" xfId="0" applyNumberFormat="1" applyFont="1" applyFill="1" applyBorder="1" applyAlignment="1">
      <alignment horizontal="left" vertical="top" wrapText="1"/>
    </xf>
    <xf numFmtId="49" fontId="69" fillId="33" borderId="0" xfId="0" applyNumberFormat="1" applyFont="1" applyFill="1" applyBorder="1" applyAlignment="1">
      <alignment horizontal="left" vertical="top" wrapText="1"/>
    </xf>
    <xf numFmtId="0" fontId="69" fillId="0" borderId="0" xfId="0" applyFont="1" applyAlignment="1">
      <alignment horizontal="left" vertical="top" wrapText="1"/>
    </xf>
    <xf numFmtId="0" fontId="65" fillId="33" borderId="0" xfId="0" applyFont="1" applyFill="1" applyAlignment="1">
      <alignment horizontal="center" vertical="top" wrapText="1"/>
    </xf>
    <xf numFmtId="49" fontId="62" fillId="33" borderId="11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6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0" fillId="33" borderId="0" xfId="0" applyFont="1" applyFill="1" applyAlignment="1">
      <alignment horizontal="left" vertical="center" wrapText="1"/>
    </xf>
    <xf numFmtId="0" fontId="4" fillId="0" borderId="0" xfId="0" applyFont="1" applyAlignment="1">
      <alignment wrapText="1"/>
    </xf>
    <xf numFmtId="0" fontId="7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2" fillId="0" borderId="14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5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center" wrapText="1"/>
    </xf>
    <xf numFmtId="0" fontId="72" fillId="0" borderId="0" xfId="0" applyFont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2" fillId="32" borderId="24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73" fillId="0" borderId="0" xfId="0" applyFont="1" applyAlignment="1">
      <alignment/>
    </xf>
    <xf numFmtId="0" fontId="73" fillId="0" borderId="12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top" wrapText="1"/>
    </xf>
    <xf numFmtId="0" fontId="67" fillId="0" borderId="0" xfId="0" applyFont="1" applyAlignment="1">
      <alignment horizontal="center" vertical="top" wrapText="1"/>
    </xf>
    <xf numFmtId="0" fontId="67" fillId="0" borderId="12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1" fillId="0" borderId="11" xfId="0" applyFont="1" applyBorder="1" applyAlignment="1">
      <alignment wrapText="1"/>
    </xf>
    <xf numFmtId="0" fontId="72" fillId="0" borderId="0" xfId="0" applyFont="1" applyAlignment="1">
      <alignment horizontal="left" wrapText="1"/>
    </xf>
    <xf numFmtId="0" fontId="6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61" fillId="33" borderId="0" xfId="0" applyFont="1" applyFill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103"/>
  <sheetViews>
    <sheetView zoomScalePageLayoutView="0" workbookViewId="0" topLeftCell="A14">
      <selection activeCell="C47" sqref="C47"/>
    </sheetView>
  </sheetViews>
  <sheetFormatPr defaultColWidth="21.57421875" defaultRowHeight="15"/>
  <cols>
    <col min="1" max="1" width="6.57421875" style="4" customWidth="1"/>
    <col min="2" max="2" width="36.57421875" style="4" customWidth="1"/>
    <col min="3" max="16384" width="21.57421875" style="4" customWidth="1"/>
  </cols>
  <sheetData>
    <row r="1" spans="5:7" ht="77.25" customHeight="1">
      <c r="E1" s="466" t="s">
        <v>6</v>
      </c>
      <c r="F1" s="467"/>
      <c r="G1" s="467"/>
    </row>
    <row r="2" spans="1:5" ht="15.75">
      <c r="A2" s="1"/>
      <c r="E2" s="1"/>
    </row>
    <row r="3" spans="1:5" ht="15.75">
      <c r="A3" s="1"/>
      <c r="E3" s="1" t="s">
        <v>166</v>
      </c>
    </row>
    <row r="4" spans="1:7" ht="15.75" customHeight="1">
      <c r="A4" s="1"/>
      <c r="E4" s="468" t="s">
        <v>89</v>
      </c>
      <c r="F4" s="468"/>
      <c r="G4" s="468"/>
    </row>
    <row r="5" spans="1:7" ht="15.75">
      <c r="A5" s="1"/>
      <c r="B5" s="1"/>
      <c r="E5" s="469" t="s">
        <v>207</v>
      </c>
      <c r="F5" s="469"/>
      <c r="G5" s="469"/>
    </row>
    <row r="6" spans="1:7" ht="15" customHeight="1">
      <c r="A6" s="1"/>
      <c r="E6" s="470" t="s">
        <v>167</v>
      </c>
      <c r="F6" s="470"/>
      <c r="G6" s="470"/>
    </row>
    <row r="7" spans="1:7" ht="15.75">
      <c r="A7" s="1"/>
      <c r="E7" s="443" t="s">
        <v>94</v>
      </c>
      <c r="F7" s="471"/>
      <c r="G7" s="471"/>
    </row>
    <row r="10" spans="1:7" ht="15.75">
      <c r="A10" s="455" t="s">
        <v>168</v>
      </c>
      <c r="B10" s="455"/>
      <c r="C10" s="455"/>
      <c r="D10" s="455"/>
      <c r="E10" s="455"/>
      <c r="F10" s="455"/>
      <c r="G10" s="455"/>
    </row>
    <row r="11" spans="1:7" ht="15.75">
      <c r="A11" s="455" t="s">
        <v>315</v>
      </c>
      <c r="B11" s="455"/>
      <c r="C11" s="455"/>
      <c r="D11" s="455"/>
      <c r="E11" s="455"/>
      <c r="F11" s="455"/>
      <c r="G11" s="455"/>
    </row>
    <row r="13" spans="1:7" ht="27.75" customHeight="1">
      <c r="A13" s="214" t="s">
        <v>304</v>
      </c>
      <c r="B13" s="208" t="s">
        <v>478</v>
      </c>
      <c r="C13" s="210"/>
      <c r="D13" s="456" t="s">
        <v>207</v>
      </c>
      <c r="E13" s="457"/>
      <c r="F13" s="458"/>
      <c r="G13" s="190">
        <v>38068238</v>
      </c>
    </row>
    <row r="14" spans="2:7" ht="29.25" customHeight="1">
      <c r="B14" s="401" t="s">
        <v>308</v>
      </c>
      <c r="C14" s="196"/>
      <c r="D14" s="459" t="s">
        <v>167</v>
      </c>
      <c r="E14" s="459"/>
      <c r="F14" s="212"/>
      <c r="G14" s="192" t="s">
        <v>305</v>
      </c>
    </row>
    <row r="15" spans="1:7" ht="15.75" customHeight="1">
      <c r="A15" s="213" t="s">
        <v>306</v>
      </c>
      <c r="B15" s="209" t="s">
        <v>479</v>
      </c>
      <c r="C15" s="211"/>
      <c r="D15" s="460" t="s">
        <v>207</v>
      </c>
      <c r="E15" s="461"/>
      <c r="F15" s="462"/>
      <c r="G15" s="193">
        <v>38068238</v>
      </c>
    </row>
    <row r="16" spans="2:7" ht="36" customHeight="1">
      <c r="B16" s="401" t="s">
        <v>308</v>
      </c>
      <c r="C16" s="196"/>
      <c r="D16" s="463" t="s">
        <v>205</v>
      </c>
      <c r="E16" s="463"/>
      <c r="F16" s="212"/>
      <c r="G16" s="192" t="s">
        <v>305</v>
      </c>
    </row>
    <row r="17" spans="1:7" ht="96.75" customHeight="1">
      <c r="A17" s="194" t="s">
        <v>307</v>
      </c>
      <c r="B17" s="402" t="s">
        <v>313</v>
      </c>
      <c r="C17" s="402" t="s">
        <v>314</v>
      </c>
      <c r="D17" s="402" t="s">
        <v>78</v>
      </c>
      <c r="E17" s="464" t="s">
        <v>622</v>
      </c>
      <c r="F17" s="465"/>
      <c r="G17" s="402" t="s">
        <v>477</v>
      </c>
    </row>
    <row r="18" spans="1:7" ht="52.5" customHeight="1">
      <c r="A18" s="195"/>
      <c r="B18" s="196" t="s">
        <v>308</v>
      </c>
      <c r="C18" s="401" t="s">
        <v>309</v>
      </c>
      <c r="D18" s="191" t="s">
        <v>310</v>
      </c>
      <c r="E18" s="454" t="s">
        <v>311</v>
      </c>
      <c r="F18" s="454"/>
      <c r="G18" s="401" t="s">
        <v>312</v>
      </c>
    </row>
    <row r="19" spans="1:7" ht="51" customHeight="1">
      <c r="A19" s="2" t="s">
        <v>172</v>
      </c>
      <c r="B19" s="9" t="s">
        <v>210</v>
      </c>
      <c r="C19" s="95">
        <f>E19+G19</f>
        <v>42500019.39</v>
      </c>
      <c r="D19" s="9" t="s">
        <v>43</v>
      </c>
      <c r="E19" s="95">
        <f>41926430-25229+3538-28452-39420-145609+230000+59035+99914+150000-538949-27000-92391-50000-180000</f>
        <v>41341867</v>
      </c>
      <c r="F19" s="9" t="s">
        <v>44</v>
      </c>
      <c r="G19" s="95">
        <f>150000+122599-30999+788233-34600+69668-50000+50000+93251.39</f>
        <v>1158152.39</v>
      </c>
    </row>
    <row r="20" spans="1:7" ht="19.5" customHeight="1">
      <c r="A20" s="2"/>
      <c r="B20" s="9"/>
      <c r="C20" s="10"/>
      <c r="D20" s="9"/>
      <c r="E20" s="10"/>
      <c r="F20" s="9"/>
      <c r="G20" s="10"/>
    </row>
    <row r="21" spans="1:7" ht="15.75">
      <c r="A21" s="2" t="s">
        <v>9</v>
      </c>
      <c r="B21" s="436" t="s">
        <v>209</v>
      </c>
      <c r="C21" s="436"/>
      <c r="D21" s="436"/>
      <c r="E21" s="436"/>
      <c r="F21" s="436"/>
      <c r="G21" s="436"/>
    </row>
    <row r="22" spans="1:7" ht="16.5" customHeight="1">
      <c r="A22" s="2"/>
      <c r="B22" s="436" t="s">
        <v>218</v>
      </c>
      <c r="C22" s="436"/>
      <c r="D22" s="436"/>
      <c r="E22" s="436"/>
      <c r="F22" s="436"/>
      <c r="G22" s="436"/>
    </row>
    <row r="23" spans="1:7" ht="15" customHeight="1">
      <c r="A23" s="2"/>
      <c r="B23" s="436" t="s">
        <v>219</v>
      </c>
      <c r="C23" s="436"/>
      <c r="D23" s="436"/>
      <c r="E23" s="436"/>
      <c r="F23" s="436"/>
      <c r="G23" s="436"/>
    </row>
    <row r="24" spans="1:7" ht="15.75" customHeight="1">
      <c r="A24" s="2"/>
      <c r="B24" s="436" t="s">
        <v>332</v>
      </c>
      <c r="C24" s="436"/>
      <c r="D24" s="436"/>
      <c r="E24" s="436"/>
      <c r="F24" s="436"/>
      <c r="G24" s="436"/>
    </row>
    <row r="25" spans="1:7" ht="31.5" customHeight="1">
      <c r="A25" s="2"/>
      <c r="B25" s="436" t="s">
        <v>96</v>
      </c>
      <c r="C25" s="436"/>
      <c r="D25" s="436"/>
      <c r="E25" s="436"/>
      <c r="F25" s="436"/>
      <c r="G25" s="436"/>
    </row>
    <row r="26" spans="1:7" ht="30.75" customHeight="1">
      <c r="A26" s="2"/>
      <c r="B26" s="450" t="s">
        <v>97</v>
      </c>
      <c r="C26" s="450"/>
      <c r="D26" s="450"/>
      <c r="E26" s="450"/>
      <c r="F26" s="450"/>
      <c r="G26" s="450"/>
    </row>
    <row r="27" spans="1:7" ht="31.5" customHeight="1">
      <c r="A27" s="2"/>
      <c r="B27" s="436" t="s">
        <v>144</v>
      </c>
      <c r="C27" s="436"/>
      <c r="D27" s="436"/>
      <c r="E27" s="436"/>
      <c r="F27" s="436"/>
      <c r="G27" s="436"/>
    </row>
    <row r="28" spans="1:7" ht="30" customHeight="1">
      <c r="A28" s="2"/>
      <c r="B28" s="450" t="s">
        <v>516</v>
      </c>
      <c r="C28" s="450"/>
      <c r="D28" s="450"/>
      <c r="E28" s="450"/>
      <c r="F28" s="450"/>
      <c r="G28" s="450"/>
    </row>
    <row r="29" spans="1:7" ht="30.75" customHeight="1">
      <c r="A29" s="2"/>
      <c r="B29" s="450" t="s">
        <v>396</v>
      </c>
      <c r="C29" s="450"/>
      <c r="D29" s="450"/>
      <c r="E29" s="450"/>
      <c r="F29" s="450"/>
      <c r="G29" s="450"/>
    </row>
    <row r="30" spans="1:7" ht="27.75" customHeight="1">
      <c r="A30" s="2" t="s">
        <v>10</v>
      </c>
      <c r="B30" s="436" t="s">
        <v>232</v>
      </c>
      <c r="C30" s="436"/>
      <c r="D30" s="436"/>
      <c r="E30" s="436"/>
      <c r="F30" s="436"/>
      <c r="G30" s="436"/>
    </row>
    <row r="31" spans="1:7" ht="16.5" customHeight="1">
      <c r="A31" s="6" t="s">
        <v>233</v>
      </c>
      <c r="B31" s="451" t="s">
        <v>234</v>
      </c>
      <c r="C31" s="452"/>
      <c r="D31" s="452"/>
      <c r="E31" s="452"/>
      <c r="F31" s="452"/>
      <c r="G31" s="453"/>
    </row>
    <row r="32" spans="1:7" ht="33" customHeight="1">
      <c r="A32" s="6">
        <v>1</v>
      </c>
      <c r="B32" s="445" t="s">
        <v>317</v>
      </c>
      <c r="C32" s="446"/>
      <c r="D32" s="446"/>
      <c r="E32" s="446"/>
      <c r="F32" s="446"/>
      <c r="G32" s="447"/>
    </row>
    <row r="33" spans="1:7" ht="16.5" customHeight="1" hidden="1">
      <c r="A33" s="6">
        <v>2</v>
      </c>
      <c r="B33" s="445" t="s">
        <v>126</v>
      </c>
      <c r="C33" s="448"/>
      <c r="D33" s="448"/>
      <c r="E33" s="448"/>
      <c r="F33" s="448"/>
      <c r="G33" s="449"/>
    </row>
    <row r="34" spans="1:7" ht="16.5" customHeight="1" hidden="1">
      <c r="A34" s="6">
        <v>3</v>
      </c>
      <c r="B34" s="445" t="s">
        <v>127</v>
      </c>
      <c r="C34" s="448"/>
      <c r="D34" s="448"/>
      <c r="E34" s="448"/>
      <c r="F34" s="448"/>
      <c r="G34" s="449"/>
    </row>
    <row r="35" spans="1:7" ht="16.5" customHeight="1" hidden="1">
      <c r="A35" s="6">
        <v>4</v>
      </c>
      <c r="B35" s="445" t="s">
        <v>128</v>
      </c>
      <c r="C35" s="448"/>
      <c r="D35" s="448"/>
      <c r="E35" s="448"/>
      <c r="F35" s="448"/>
      <c r="G35" s="449"/>
    </row>
    <row r="36" spans="1:7" ht="18.75" customHeight="1" hidden="1">
      <c r="A36" s="6">
        <v>5</v>
      </c>
      <c r="B36" s="445" t="s">
        <v>129</v>
      </c>
      <c r="C36" s="446"/>
      <c r="D36" s="446"/>
      <c r="E36" s="446"/>
      <c r="F36" s="446"/>
      <c r="G36" s="447"/>
    </row>
    <row r="37" spans="1:7" ht="37.5" customHeight="1">
      <c r="A37" s="2" t="s">
        <v>11</v>
      </c>
      <c r="B37" s="436" t="s">
        <v>45</v>
      </c>
      <c r="C37" s="436"/>
      <c r="D37" s="436"/>
      <c r="E37" s="436"/>
      <c r="F37" s="436"/>
      <c r="G37" s="436"/>
    </row>
    <row r="38" spans="1:4" ht="21" customHeight="1">
      <c r="A38" s="2" t="s">
        <v>15</v>
      </c>
      <c r="B38" s="443" t="s">
        <v>12</v>
      </c>
      <c r="C38" s="443"/>
      <c r="D38" s="443"/>
    </row>
    <row r="39" spans="1:7" ht="15.75">
      <c r="A39" s="6" t="s">
        <v>13</v>
      </c>
      <c r="B39" s="444" t="s">
        <v>14</v>
      </c>
      <c r="C39" s="444"/>
      <c r="D39" s="444"/>
      <c r="E39" s="444"/>
      <c r="F39" s="444"/>
      <c r="G39" s="444"/>
    </row>
    <row r="40" spans="1:7" ht="15.75">
      <c r="A40" s="6" t="s">
        <v>169</v>
      </c>
      <c r="B40" s="445" t="s">
        <v>46</v>
      </c>
      <c r="C40" s="446"/>
      <c r="D40" s="446"/>
      <c r="E40" s="446"/>
      <c r="F40" s="446"/>
      <c r="G40" s="447"/>
    </row>
    <row r="41" spans="1:7" ht="15.75">
      <c r="A41" s="6" t="s">
        <v>170</v>
      </c>
      <c r="B41" s="445" t="s">
        <v>271</v>
      </c>
      <c r="C41" s="448"/>
      <c r="D41" s="448"/>
      <c r="E41" s="448"/>
      <c r="F41" s="448"/>
      <c r="G41" s="449"/>
    </row>
    <row r="42" spans="1:7" ht="15.75">
      <c r="A42" s="435">
        <v>9</v>
      </c>
      <c r="B42" s="436" t="s">
        <v>16</v>
      </c>
      <c r="C42" s="436"/>
      <c r="D42" s="436"/>
      <c r="E42" s="436"/>
      <c r="F42" s="436"/>
      <c r="G42" s="436"/>
    </row>
    <row r="43" spans="1:2" ht="15.75">
      <c r="A43" s="435"/>
      <c r="B43" s="1" t="s">
        <v>17</v>
      </c>
    </row>
    <row r="44" spans="1:6" ht="31.5">
      <c r="A44" s="6" t="s">
        <v>13</v>
      </c>
      <c r="B44" s="6" t="s">
        <v>18</v>
      </c>
      <c r="C44" s="6" t="s">
        <v>19</v>
      </c>
      <c r="D44" s="6" t="s">
        <v>20</v>
      </c>
      <c r="E44" s="6" t="s">
        <v>21</v>
      </c>
      <c r="F44" s="16"/>
    </row>
    <row r="45" spans="1:6" ht="15.75">
      <c r="A45" s="6">
        <v>1</v>
      </c>
      <c r="B45" s="6">
        <v>2</v>
      </c>
      <c r="C45" s="6">
        <v>3</v>
      </c>
      <c r="D45" s="6">
        <v>4</v>
      </c>
      <c r="E45" s="6">
        <v>5</v>
      </c>
      <c r="F45" s="16"/>
    </row>
    <row r="46" spans="1:6" ht="60.75" customHeight="1">
      <c r="A46" s="6" t="s">
        <v>169</v>
      </c>
      <c r="B46" s="11" t="s">
        <v>125</v>
      </c>
      <c r="C46" s="13">
        <f>E19</f>
        <v>41341867</v>
      </c>
      <c r="D46" s="13">
        <f>150000+788233+69668+93251.39</f>
        <v>1101152.39</v>
      </c>
      <c r="E46" s="13">
        <f>C46+D46</f>
        <v>42443019.39</v>
      </c>
      <c r="F46" s="129"/>
    </row>
    <row r="47" spans="1:6" ht="26.25" customHeight="1">
      <c r="A47" s="6" t="s">
        <v>170</v>
      </c>
      <c r="B47" s="11" t="s">
        <v>271</v>
      </c>
      <c r="C47" s="237">
        <v>0</v>
      </c>
      <c r="D47" s="13">
        <f>F88</f>
        <v>57000</v>
      </c>
      <c r="E47" s="13">
        <f>D47</f>
        <v>57000</v>
      </c>
      <c r="F47" s="129"/>
    </row>
    <row r="48" spans="1:6" ht="15.75">
      <c r="A48" s="434" t="s">
        <v>21</v>
      </c>
      <c r="B48" s="434"/>
      <c r="C48" s="14">
        <f>SUM(C46:C47)</f>
        <v>41341867</v>
      </c>
      <c r="D48" s="14">
        <f>SUM(D46:D47)</f>
        <v>1158152.39</v>
      </c>
      <c r="E48" s="14">
        <f>SUM(E46:E47)</f>
        <v>42500019.39</v>
      </c>
      <c r="F48" s="131"/>
    </row>
    <row r="49" spans="1:6" ht="15.75">
      <c r="A49" s="220"/>
      <c r="B49" s="220"/>
      <c r="C49" s="131"/>
      <c r="D49" s="131"/>
      <c r="E49" s="131"/>
      <c r="F49" s="131"/>
    </row>
    <row r="50" spans="1:7" ht="15.75">
      <c r="A50" s="435">
        <v>10</v>
      </c>
      <c r="B50" s="436" t="s">
        <v>23</v>
      </c>
      <c r="C50" s="436"/>
      <c r="D50" s="436"/>
      <c r="E50" s="436"/>
      <c r="F50" s="436"/>
      <c r="G50" s="436"/>
    </row>
    <row r="51" spans="1:2" ht="15.75">
      <c r="A51" s="435"/>
      <c r="B51" s="1" t="s">
        <v>17</v>
      </c>
    </row>
    <row r="52" spans="1:5" ht="31.5">
      <c r="A52" s="6" t="s">
        <v>13</v>
      </c>
      <c r="B52" s="6" t="s">
        <v>193</v>
      </c>
      <c r="C52" s="6" t="s">
        <v>19</v>
      </c>
      <c r="D52" s="6" t="s">
        <v>20</v>
      </c>
      <c r="E52" s="6" t="s">
        <v>21</v>
      </c>
    </row>
    <row r="53" spans="1:5" ht="15.75">
      <c r="A53" s="6">
        <v>1</v>
      </c>
      <c r="B53" s="6">
        <v>1</v>
      </c>
      <c r="C53" s="6">
        <v>2</v>
      </c>
      <c r="D53" s="6">
        <v>3</v>
      </c>
      <c r="E53" s="6">
        <v>4</v>
      </c>
    </row>
    <row r="54" spans="1:5" s="241" customFormat="1" ht="60">
      <c r="A54" s="78">
        <v>1</v>
      </c>
      <c r="B54" s="239" t="s">
        <v>517</v>
      </c>
      <c r="C54" s="231">
        <v>0</v>
      </c>
      <c r="D54" s="240">
        <f>D47</f>
        <v>57000</v>
      </c>
      <c r="E54" s="240">
        <f>C54+D54</f>
        <v>57000</v>
      </c>
    </row>
    <row r="55" spans="1:5" ht="15.75">
      <c r="A55" s="6"/>
      <c r="B55" s="17" t="s">
        <v>21</v>
      </c>
      <c r="C55" s="228">
        <f>C54</f>
        <v>0</v>
      </c>
      <c r="D55" s="242">
        <f>D54</f>
        <v>57000</v>
      </c>
      <c r="E55" s="242">
        <f>E54</f>
        <v>57000</v>
      </c>
    </row>
    <row r="56" spans="1:5" ht="15.75">
      <c r="A56" s="16"/>
      <c r="B56" s="265"/>
      <c r="C56" s="266"/>
      <c r="D56" s="267"/>
      <c r="E56" s="267"/>
    </row>
    <row r="57" spans="1:7" ht="15.75">
      <c r="A57" s="2" t="s">
        <v>47</v>
      </c>
      <c r="B57" s="436" t="s">
        <v>195</v>
      </c>
      <c r="C57" s="436"/>
      <c r="D57" s="436"/>
      <c r="E57" s="436"/>
      <c r="F57" s="436"/>
      <c r="G57" s="436"/>
    </row>
    <row r="58" ht="15.75">
      <c r="A58" s="3"/>
    </row>
    <row r="59" spans="1:7" ht="46.5" customHeight="1">
      <c r="A59" s="6" t="s">
        <v>13</v>
      </c>
      <c r="B59" s="6" t="s">
        <v>196</v>
      </c>
      <c r="C59" s="6" t="s">
        <v>197</v>
      </c>
      <c r="D59" s="6" t="s">
        <v>198</v>
      </c>
      <c r="E59" s="6" t="s">
        <v>19</v>
      </c>
      <c r="F59" s="6" t="s">
        <v>20</v>
      </c>
      <c r="G59" s="6" t="s">
        <v>21</v>
      </c>
    </row>
    <row r="60" spans="1:7" ht="15.75">
      <c r="A60" s="6">
        <v>1</v>
      </c>
      <c r="B60" s="6">
        <v>2</v>
      </c>
      <c r="C60" s="6">
        <v>3</v>
      </c>
      <c r="D60" s="6">
        <v>4</v>
      </c>
      <c r="E60" s="6">
        <v>5</v>
      </c>
      <c r="F60" s="6">
        <v>6</v>
      </c>
      <c r="G60" s="6">
        <v>7</v>
      </c>
    </row>
    <row r="61" spans="1:7" ht="15.75">
      <c r="A61" s="6"/>
      <c r="B61" s="437" t="s">
        <v>63</v>
      </c>
      <c r="C61" s="438"/>
      <c r="D61" s="438"/>
      <c r="E61" s="438"/>
      <c r="F61" s="438"/>
      <c r="G61" s="439"/>
    </row>
    <row r="62" spans="1:7" ht="15.75">
      <c r="A62" s="6">
        <v>1</v>
      </c>
      <c r="B62" s="17" t="s">
        <v>267</v>
      </c>
      <c r="C62" s="6"/>
      <c r="D62" s="6"/>
      <c r="E62" s="6"/>
      <c r="F62" s="6"/>
      <c r="G62" s="6"/>
    </row>
    <row r="63" spans="1:7" ht="15.75">
      <c r="A63" s="6"/>
      <c r="B63" s="7" t="s">
        <v>57</v>
      </c>
      <c r="C63" s="6" t="s">
        <v>79</v>
      </c>
      <c r="D63" s="6" t="s">
        <v>61</v>
      </c>
      <c r="E63" s="81">
        <f>C48</f>
        <v>41341867</v>
      </c>
      <c r="F63" s="13">
        <f>D46</f>
        <v>1101152.39</v>
      </c>
      <c r="G63" s="22">
        <f>E63+F63</f>
        <v>42443019.39</v>
      </c>
    </row>
    <row r="64" spans="1:7" ht="15" customHeight="1">
      <c r="A64" s="6"/>
      <c r="B64" s="7" t="s">
        <v>221</v>
      </c>
      <c r="C64" s="6" t="s">
        <v>64</v>
      </c>
      <c r="D64" s="6" t="s">
        <v>65</v>
      </c>
      <c r="E64" s="158">
        <f>E65+E68</f>
        <v>135</v>
      </c>
      <c r="F64" s="229">
        <v>0</v>
      </c>
      <c r="G64" s="22">
        <f aca="true" t="shared" si="0" ref="G64:G70">E64</f>
        <v>135</v>
      </c>
    </row>
    <row r="65" spans="1:8" ht="27.75" customHeight="1">
      <c r="A65" s="6"/>
      <c r="B65" s="7" t="s">
        <v>480</v>
      </c>
      <c r="C65" s="6" t="s">
        <v>64</v>
      </c>
      <c r="D65" s="6" t="s">
        <v>65</v>
      </c>
      <c r="E65" s="215">
        <v>124</v>
      </c>
      <c r="F65" s="229">
        <v>0</v>
      </c>
      <c r="G65" s="43">
        <f t="shared" si="0"/>
        <v>124</v>
      </c>
      <c r="H65" s="89"/>
    </row>
    <row r="66" spans="1:8" ht="15.75" customHeight="1">
      <c r="A66" s="6"/>
      <c r="B66" s="7" t="s">
        <v>322</v>
      </c>
      <c r="C66" s="6" t="s">
        <v>64</v>
      </c>
      <c r="D66" s="6" t="s">
        <v>65</v>
      </c>
      <c r="E66" s="158">
        <f>36+3</f>
        <v>39</v>
      </c>
      <c r="F66" s="229">
        <v>0</v>
      </c>
      <c r="G66" s="22">
        <f t="shared" si="0"/>
        <v>39</v>
      </c>
      <c r="H66" s="89"/>
    </row>
    <row r="67" spans="1:8" ht="15.75">
      <c r="A67" s="6"/>
      <c r="B67" s="7" t="s">
        <v>323</v>
      </c>
      <c r="C67" s="6" t="s">
        <v>64</v>
      </c>
      <c r="D67" s="6" t="s">
        <v>65</v>
      </c>
      <c r="E67" s="158">
        <f>73+12</f>
        <v>85</v>
      </c>
      <c r="F67" s="229">
        <v>0</v>
      </c>
      <c r="G67" s="22">
        <f t="shared" si="0"/>
        <v>85</v>
      </c>
      <c r="H67" s="89"/>
    </row>
    <row r="68" spans="1:7" ht="15.75">
      <c r="A68" s="6"/>
      <c r="B68" s="7" t="s">
        <v>220</v>
      </c>
      <c r="C68" s="6" t="s">
        <v>64</v>
      </c>
      <c r="D68" s="6" t="s">
        <v>65</v>
      </c>
      <c r="E68" s="215">
        <v>11</v>
      </c>
      <c r="F68" s="229">
        <v>0</v>
      </c>
      <c r="G68" s="43">
        <f t="shared" si="0"/>
        <v>11</v>
      </c>
    </row>
    <row r="69" spans="1:7" ht="15.75">
      <c r="A69" s="6"/>
      <c r="B69" s="7" t="s">
        <v>322</v>
      </c>
      <c r="C69" s="6" t="s">
        <v>64</v>
      </c>
      <c r="D69" s="6" t="s">
        <v>65</v>
      </c>
      <c r="E69" s="158">
        <v>9</v>
      </c>
      <c r="F69" s="229">
        <v>0</v>
      </c>
      <c r="G69" s="22">
        <f t="shared" si="0"/>
        <v>9</v>
      </c>
    </row>
    <row r="70" spans="1:7" ht="15.75">
      <c r="A70" s="6"/>
      <c r="B70" s="7" t="s">
        <v>323</v>
      </c>
      <c r="C70" s="6" t="s">
        <v>64</v>
      </c>
      <c r="D70" s="6" t="s">
        <v>65</v>
      </c>
      <c r="E70" s="158">
        <v>2</v>
      </c>
      <c r="F70" s="229">
        <v>0</v>
      </c>
      <c r="G70" s="22">
        <f t="shared" si="0"/>
        <v>2</v>
      </c>
    </row>
    <row r="71" spans="1:7" ht="15.75">
      <c r="A71" s="6">
        <v>2</v>
      </c>
      <c r="B71" s="17" t="s">
        <v>268</v>
      </c>
      <c r="C71" s="6"/>
      <c r="D71" s="6"/>
      <c r="E71" s="6"/>
      <c r="F71" s="229"/>
      <c r="G71" s="22"/>
    </row>
    <row r="72" spans="1:7" ht="29.25" customHeight="1">
      <c r="A72" s="6"/>
      <c r="B72" s="31" t="s">
        <v>49</v>
      </c>
      <c r="C72" s="6" t="s">
        <v>66</v>
      </c>
      <c r="D72" s="6" t="s">
        <v>67</v>
      </c>
      <c r="E72" s="6">
        <v>12</v>
      </c>
      <c r="F72" s="229">
        <v>0</v>
      </c>
      <c r="G72" s="22">
        <f>E72</f>
        <v>12</v>
      </c>
    </row>
    <row r="73" spans="1:7" ht="51.75" customHeight="1">
      <c r="A73" s="6"/>
      <c r="B73" s="7" t="s">
        <v>50</v>
      </c>
      <c r="C73" s="6" t="s">
        <v>66</v>
      </c>
      <c r="D73" s="6" t="s">
        <v>68</v>
      </c>
      <c r="E73" s="6">
        <v>12</v>
      </c>
      <c r="F73" s="229">
        <v>0</v>
      </c>
      <c r="G73" s="22">
        <f>E73</f>
        <v>12</v>
      </c>
    </row>
    <row r="74" spans="1:7" ht="37.5" customHeight="1">
      <c r="A74" s="6"/>
      <c r="B74" s="7" t="s">
        <v>51</v>
      </c>
      <c r="C74" s="6" t="s">
        <v>66</v>
      </c>
      <c r="D74" s="6" t="s">
        <v>69</v>
      </c>
      <c r="E74" s="40">
        <v>2500</v>
      </c>
      <c r="F74" s="229">
        <v>0</v>
      </c>
      <c r="G74" s="22">
        <f>E74</f>
        <v>2500</v>
      </c>
    </row>
    <row r="75" spans="1:7" ht="67.5" customHeight="1">
      <c r="A75" s="6"/>
      <c r="B75" s="7" t="s">
        <v>52</v>
      </c>
      <c r="C75" s="6" t="s">
        <v>66</v>
      </c>
      <c r="D75" s="6" t="s">
        <v>69</v>
      </c>
      <c r="E75" s="40">
        <v>300</v>
      </c>
      <c r="F75" s="229">
        <v>0</v>
      </c>
      <c r="G75" s="22">
        <f>E75</f>
        <v>300</v>
      </c>
    </row>
    <row r="76" spans="1:7" ht="38.25" customHeight="1">
      <c r="A76" s="6"/>
      <c r="B76" s="7" t="s">
        <v>58</v>
      </c>
      <c r="C76" s="6" t="s">
        <v>66</v>
      </c>
      <c r="D76" s="6" t="s">
        <v>69</v>
      </c>
      <c r="E76" s="40">
        <v>15000</v>
      </c>
      <c r="F76" s="229">
        <v>0</v>
      </c>
      <c r="G76" s="22">
        <f>E76</f>
        <v>15000</v>
      </c>
    </row>
    <row r="77" spans="1:7" ht="38.25" customHeight="1">
      <c r="A77" s="6">
        <v>3</v>
      </c>
      <c r="B77" s="17" t="s">
        <v>269</v>
      </c>
      <c r="C77" s="6"/>
      <c r="D77" s="6"/>
      <c r="E77" s="40"/>
      <c r="F77" s="6"/>
      <c r="G77" s="22"/>
    </row>
    <row r="78" spans="1:7" ht="44.25" customHeight="1">
      <c r="A78" s="6"/>
      <c r="B78" s="7" t="s">
        <v>53</v>
      </c>
      <c r="C78" s="6" t="s">
        <v>79</v>
      </c>
      <c r="D78" s="6" t="s">
        <v>70</v>
      </c>
      <c r="E78" s="47">
        <f>E63/E64</f>
        <v>306236.05185185187</v>
      </c>
      <c r="F78" s="229">
        <v>0</v>
      </c>
      <c r="G78" s="22">
        <f>E78</f>
        <v>306236.05185185187</v>
      </c>
    </row>
    <row r="79" spans="1:7" ht="51.75" customHeight="1">
      <c r="A79" s="6"/>
      <c r="B79" s="7" t="s">
        <v>59</v>
      </c>
      <c r="C79" s="6" t="s">
        <v>66</v>
      </c>
      <c r="D79" s="6" t="s">
        <v>70</v>
      </c>
      <c r="E79" s="79">
        <f>E74/E65</f>
        <v>20.161290322580644</v>
      </c>
      <c r="F79" s="229">
        <v>0</v>
      </c>
      <c r="G79" s="22">
        <f>E79</f>
        <v>20.161290322580644</v>
      </c>
    </row>
    <row r="80" spans="1:7" ht="56.25" customHeight="1">
      <c r="A80" s="6"/>
      <c r="B80" s="7" t="s">
        <v>165</v>
      </c>
      <c r="C80" s="6" t="s">
        <v>66</v>
      </c>
      <c r="D80" s="6" t="s">
        <v>70</v>
      </c>
      <c r="E80" s="79">
        <f>E76/E65</f>
        <v>120.96774193548387</v>
      </c>
      <c r="F80" s="229">
        <v>0</v>
      </c>
      <c r="G80" s="22">
        <f>E80</f>
        <v>120.96774193548387</v>
      </c>
    </row>
    <row r="81" spans="1:7" ht="15.75">
      <c r="A81" s="6">
        <v>4</v>
      </c>
      <c r="B81" s="17" t="s">
        <v>266</v>
      </c>
      <c r="C81" s="6"/>
      <c r="D81" s="6"/>
      <c r="E81" s="40"/>
      <c r="F81" s="6"/>
      <c r="G81" s="22"/>
    </row>
    <row r="82" spans="1:7" ht="19.5" customHeight="1">
      <c r="A82" s="7"/>
      <c r="B82" s="7" t="s">
        <v>54</v>
      </c>
      <c r="C82" s="6"/>
      <c r="D82" s="6" t="s">
        <v>70</v>
      </c>
      <c r="E82" s="40"/>
      <c r="F82" s="229">
        <v>0</v>
      </c>
      <c r="G82" s="22"/>
    </row>
    <row r="83" spans="1:7" ht="29.25" customHeight="1">
      <c r="A83" s="7"/>
      <c r="B83" s="7" t="s">
        <v>55</v>
      </c>
      <c r="C83" s="6" t="s">
        <v>71</v>
      </c>
      <c r="D83" s="6" t="s">
        <v>72</v>
      </c>
      <c r="E83" s="40">
        <v>100</v>
      </c>
      <c r="F83" s="229">
        <v>0</v>
      </c>
      <c r="G83" s="22">
        <f>E83</f>
        <v>100</v>
      </c>
    </row>
    <row r="84" spans="1:7" ht="44.25" customHeight="1">
      <c r="A84" s="7"/>
      <c r="B84" s="7" t="s">
        <v>60</v>
      </c>
      <c r="C84" s="6" t="s">
        <v>71</v>
      </c>
      <c r="D84" s="6" t="s">
        <v>70</v>
      </c>
      <c r="E84" s="40">
        <v>100</v>
      </c>
      <c r="F84" s="229">
        <v>0</v>
      </c>
      <c r="G84" s="22">
        <f>E84</f>
        <v>100</v>
      </c>
    </row>
    <row r="85" spans="1:7" ht="60" customHeight="1">
      <c r="A85" s="143"/>
      <c r="B85" s="143" t="s">
        <v>56</v>
      </c>
      <c r="C85" s="133" t="s">
        <v>71</v>
      </c>
      <c r="D85" s="133" t="s">
        <v>70</v>
      </c>
      <c r="E85" s="176">
        <v>100</v>
      </c>
      <c r="F85" s="229">
        <v>0</v>
      </c>
      <c r="G85" s="186">
        <f>E85</f>
        <v>100</v>
      </c>
    </row>
    <row r="86" spans="1:7" ht="15.75">
      <c r="A86" s="221"/>
      <c r="B86" s="440" t="s">
        <v>485</v>
      </c>
      <c r="C86" s="441"/>
      <c r="D86" s="441"/>
      <c r="E86" s="441"/>
      <c r="F86" s="441"/>
      <c r="G86" s="442"/>
    </row>
    <row r="87" spans="1:7" ht="15.75">
      <c r="A87" s="133">
        <v>1</v>
      </c>
      <c r="B87" s="404" t="s">
        <v>267</v>
      </c>
      <c r="C87" s="133"/>
      <c r="D87" s="133"/>
      <c r="E87" s="133"/>
      <c r="F87" s="132">
        <f>F88</f>
        <v>57000</v>
      </c>
      <c r="G87" s="132">
        <f>F87</f>
        <v>57000</v>
      </c>
    </row>
    <row r="88" spans="1:7" ht="92.25" customHeight="1">
      <c r="A88" s="143"/>
      <c r="B88" s="143" t="s">
        <v>486</v>
      </c>
      <c r="C88" s="133" t="s">
        <v>79</v>
      </c>
      <c r="D88" s="133" t="s">
        <v>8</v>
      </c>
      <c r="E88" s="229">
        <v>0</v>
      </c>
      <c r="F88" s="134">
        <f>122599-30999-34600</f>
        <v>57000</v>
      </c>
      <c r="G88" s="134">
        <f>F88</f>
        <v>57000</v>
      </c>
    </row>
    <row r="89" spans="1:7" ht="15.75">
      <c r="A89" s="133">
        <v>2</v>
      </c>
      <c r="B89" s="404" t="s">
        <v>268</v>
      </c>
      <c r="C89" s="167"/>
      <c r="D89" s="167"/>
      <c r="E89" s="133"/>
      <c r="F89" s="134"/>
      <c r="G89" s="134"/>
    </row>
    <row r="90" spans="1:7" ht="63.75" customHeight="1">
      <c r="A90" s="143"/>
      <c r="B90" s="143" t="s">
        <v>492</v>
      </c>
      <c r="C90" s="133" t="s">
        <v>66</v>
      </c>
      <c r="D90" s="133" t="s">
        <v>69</v>
      </c>
      <c r="E90" s="229">
        <v>0</v>
      </c>
      <c r="F90" s="134">
        <v>1</v>
      </c>
      <c r="G90" s="134">
        <f>F90</f>
        <v>1</v>
      </c>
    </row>
    <row r="91" spans="1:7" ht="15.75">
      <c r="A91" s="133">
        <v>3</v>
      </c>
      <c r="B91" s="404" t="s">
        <v>269</v>
      </c>
      <c r="C91" s="133"/>
      <c r="D91" s="133"/>
      <c r="E91" s="133"/>
      <c r="F91" s="134"/>
      <c r="G91" s="134"/>
    </row>
    <row r="92" spans="1:7" ht="47.25" customHeight="1">
      <c r="A92" s="133"/>
      <c r="B92" s="143" t="s">
        <v>493</v>
      </c>
      <c r="C92" s="133" t="s">
        <v>79</v>
      </c>
      <c r="D92" s="133" t="s">
        <v>70</v>
      </c>
      <c r="E92" s="229">
        <v>0</v>
      </c>
      <c r="F92" s="134">
        <f>F88/F90</f>
        <v>57000</v>
      </c>
      <c r="G92" s="134">
        <f>F92</f>
        <v>57000</v>
      </c>
    </row>
    <row r="93" spans="1:7" ht="15.75">
      <c r="A93" s="133">
        <v>4</v>
      </c>
      <c r="B93" s="404" t="s">
        <v>266</v>
      </c>
      <c r="C93" s="133"/>
      <c r="D93" s="133"/>
      <c r="E93" s="176"/>
      <c r="F93" s="133"/>
      <c r="G93" s="133"/>
    </row>
    <row r="94" spans="1:7" ht="42" customHeight="1">
      <c r="A94" s="143"/>
      <c r="B94" s="143" t="s">
        <v>55</v>
      </c>
      <c r="C94" s="133" t="s">
        <v>71</v>
      </c>
      <c r="D94" s="133" t="s">
        <v>72</v>
      </c>
      <c r="E94" s="176"/>
      <c r="F94" s="133">
        <v>100</v>
      </c>
      <c r="G94" s="133">
        <f>F94</f>
        <v>100</v>
      </c>
    </row>
    <row r="95" spans="1:7" ht="14.25" customHeight="1">
      <c r="A95" s="16"/>
      <c r="B95" s="15"/>
      <c r="C95" s="16"/>
      <c r="D95" s="273"/>
      <c r="E95" s="268"/>
      <c r="F95" s="274"/>
      <c r="G95" s="275"/>
    </row>
    <row r="96" spans="1:7" ht="15.75">
      <c r="A96" s="3" t="s">
        <v>73</v>
      </c>
      <c r="B96" s="3"/>
      <c r="C96" s="3"/>
      <c r="D96" s="8"/>
      <c r="E96" s="75"/>
      <c r="F96" s="430" t="s">
        <v>74</v>
      </c>
      <c r="G96" s="430"/>
    </row>
    <row r="97" spans="1:7" ht="15">
      <c r="A97" s="85"/>
      <c r="B97" s="85"/>
      <c r="C97" s="85"/>
      <c r="D97" s="5" t="s">
        <v>203</v>
      </c>
      <c r="E97" s="86"/>
      <c r="F97" s="431" t="s">
        <v>75</v>
      </c>
      <c r="G97" s="432"/>
    </row>
    <row r="98" spans="1:7" ht="15.75">
      <c r="A98" s="433" t="s">
        <v>204</v>
      </c>
      <c r="B98" s="433"/>
      <c r="C98" s="85"/>
      <c r="E98" s="85"/>
      <c r="F98" s="85"/>
      <c r="G98" s="85"/>
    </row>
    <row r="99" spans="1:7" ht="21.75" customHeight="1">
      <c r="A99" s="3" t="s">
        <v>281</v>
      </c>
      <c r="B99" s="3"/>
      <c r="C99" s="3"/>
      <c r="D99" s="8"/>
      <c r="E99" s="75"/>
      <c r="F99" s="430" t="s">
        <v>76</v>
      </c>
      <c r="G99" s="430"/>
    </row>
    <row r="100" spans="1:7" ht="15.75">
      <c r="A100" s="3" t="s">
        <v>286</v>
      </c>
      <c r="B100" s="187"/>
      <c r="C100" s="85"/>
      <c r="D100" s="5" t="s">
        <v>203</v>
      </c>
      <c r="E100" s="5"/>
      <c r="F100" s="431" t="s">
        <v>75</v>
      </c>
      <c r="G100" s="432"/>
    </row>
    <row r="101" ht="15">
      <c r="B101" s="188"/>
    </row>
    <row r="102" ht="15">
      <c r="B102" s="93" t="s">
        <v>181</v>
      </c>
    </row>
    <row r="103" ht="15">
      <c r="B103" s="4" t="s">
        <v>163</v>
      </c>
    </row>
  </sheetData>
  <sheetProtection/>
  <mergeCells count="47">
    <mergeCell ref="E1:G1"/>
    <mergeCell ref="E4:G4"/>
    <mergeCell ref="E5:G5"/>
    <mergeCell ref="E6:G6"/>
    <mergeCell ref="E7:G7"/>
    <mergeCell ref="A10:G10"/>
    <mergeCell ref="A11:G11"/>
    <mergeCell ref="D13:F13"/>
    <mergeCell ref="D14:E14"/>
    <mergeCell ref="D15:F15"/>
    <mergeCell ref="D16:E16"/>
    <mergeCell ref="E17:F17"/>
    <mergeCell ref="E18:F18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86:G86"/>
    <mergeCell ref="B38:D38"/>
    <mergeCell ref="B39:G39"/>
    <mergeCell ref="B40:G40"/>
    <mergeCell ref="B41:G41"/>
    <mergeCell ref="A42:A43"/>
    <mergeCell ref="B42:G42"/>
    <mergeCell ref="F96:G96"/>
    <mergeCell ref="F97:G97"/>
    <mergeCell ref="A98:B98"/>
    <mergeCell ref="F99:G99"/>
    <mergeCell ref="F100:G100"/>
    <mergeCell ref="A48:B48"/>
    <mergeCell ref="A50:A51"/>
    <mergeCell ref="B50:G50"/>
    <mergeCell ref="B57:G57"/>
    <mergeCell ref="B61:G61"/>
  </mergeCells>
  <printOptions horizontalCentered="1" verticalCentered="1"/>
  <pageMargins left="0.3937007874015748" right="0.35433070866141736" top="1.1811023622047245" bottom="0.4724409448818898" header="0.31496062992125984" footer="0.31496062992125984"/>
  <pageSetup fitToHeight="5" fitToWidth="1" horizontalDpi="600" verticalDpi="600" orientation="landscape" paperSize="9" scale="89" r:id="rId1"/>
  <rowBreaks count="1" manualBreakCount="1">
    <brk id="8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04"/>
  <sheetViews>
    <sheetView zoomScalePageLayoutView="0" workbookViewId="0" topLeftCell="A61">
      <selection activeCell="B79" sqref="B79:G79"/>
    </sheetView>
  </sheetViews>
  <sheetFormatPr defaultColWidth="21.57421875" defaultRowHeight="15"/>
  <cols>
    <col min="1" max="1" width="8.140625" style="244" customWidth="1"/>
    <col min="2" max="2" width="33.421875" style="244" customWidth="1"/>
    <col min="3" max="3" width="13.7109375" style="244" customWidth="1"/>
    <col min="4" max="4" width="21.57421875" style="244" customWidth="1"/>
    <col min="5" max="5" width="22.421875" style="244" customWidth="1"/>
    <col min="6" max="7" width="21.57421875" style="244" customWidth="1"/>
    <col min="8" max="28" width="10.28125" style="244" customWidth="1"/>
    <col min="29" max="16384" width="21.57421875" style="244" customWidth="1"/>
  </cols>
  <sheetData>
    <row r="1" spans="1:7" ht="15" customHeight="1">
      <c r="A1" s="243"/>
      <c r="B1" s="243"/>
      <c r="C1" s="243"/>
      <c r="D1" s="243"/>
      <c r="E1" s="517" t="s">
        <v>518</v>
      </c>
      <c r="F1" s="517"/>
      <c r="G1" s="517"/>
    </row>
    <row r="2" spans="1:7" ht="21" customHeight="1">
      <c r="A2" s="243"/>
      <c r="B2" s="243"/>
      <c r="C2" s="243"/>
      <c r="D2" s="243"/>
      <c r="E2" s="517"/>
      <c r="F2" s="517"/>
      <c r="G2" s="517"/>
    </row>
    <row r="3" spans="1:7" ht="15.75">
      <c r="A3" s="411"/>
      <c r="B3" s="243"/>
      <c r="C3" s="243"/>
      <c r="D3" s="243"/>
      <c r="E3" s="409" t="s">
        <v>166</v>
      </c>
      <c r="F3" s="245"/>
      <c r="G3" s="245"/>
    </row>
    <row r="4" spans="1:7" ht="15.75">
      <c r="A4" s="411"/>
      <c r="B4" s="243"/>
      <c r="C4" s="243"/>
      <c r="D4" s="243"/>
      <c r="E4" s="518" t="s">
        <v>216</v>
      </c>
      <c r="F4" s="518"/>
      <c r="G4" s="518"/>
    </row>
    <row r="5" spans="1:7" ht="15.75">
      <c r="A5" s="411"/>
      <c r="B5" s="411"/>
      <c r="C5" s="243"/>
      <c r="D5" s="243"/>
      <c r="E5" s="519" t="s">
        <v>207</v>
      </c>
      <c r="F5" s="519"/>
      <c r="G5" s="519"/>
    </row>
    <row r="6" spans="1:7" ht="15" customHeight="1">
      <c r="A6" s="411"/>
      <c r="B6" s="243"/>
      <c r="C6" s="243"/>
      <c r="D6" s="243"/>
      <c r="E6" s="520" t="s">
        <v>167</v>
      </c>
      <c r="F6" s="520"/>
      <c r="G6" s="520"/>
    </row>
    <row r="7" spans="1:7" ht="15" customHeight="1">
      <c r="A7" s="411"/>
      <c r="B7" s="243"/>
      <c r="C7" s="243"/>
      <c r="D7" s="243"/>
      <c r="E7" s="521" t="s">
        <v>519</v>
      </c>
      <c r="F7" s="521"/>
      <c r="G7" s="521"/>
    </row>
    <row r="8" spans="1:7" ht="15.75">
      <c r="A8" s="522" t="s">
        <v>168</v>
      </c>
      <c r="B8" s="522"/>
      <c r="C8" s="522"/>
      <c r="D8" s="522"/>
      <c r="E8" s="522"/>
      <c r="F8" s="522"/>
      <c r="G8" s="522"/>
    </row>
    <row r="9" spans="1:7" ht="15.75">
      <c r="A9" s="522" t="s">
        <v>315</v>
      </c>
      <c r="B9" s="522"/>
      <c r="C9" s="522"/>
      <c r="D9" s="522"/>
      <c r="E9" s="522"/>
      <c r="F9" s="522"/>
      <c r="G9" s="522"/>
    </row>
    <row r="10" spans="1:7" ht="15.75">
      <c r="A10" s="156"/>
      <c r="B10" s="156"/>
      <c r="C10" s="156"/>
      <c r="D10" s="156"/>
      <c r="E10" s="156"/>
      <c r="F10" s="156"/>
      <c r="G10" s="156"/>
    </row>
    <row r="11" spans="1:7" ht="15" customHeight="1">
      <c r="A11" s="246" t="s">
        <v>304</v>
      </c>
      <c r="B11" s="405" t="s">
        <v>478</v>
      </c>
      <c r="C11" s="210"/>
      <c r="D11" s="456" t="s">
        <v>207</v>
      </c>
      <c r="E11" s="457"/>
      <c r="F11" s="458"/>
      <c r="G11" s="190">
        <v>38068238</v>
      </c>
    </row>
    <row r="12" spans="1:7" ht="22.5" customHeight="1">
      <c r="A12" s="66"/>
      <c r="B12" s="407" t="s">
        <v>308</v>
      </c>
      <c r="C12" s="196"/>
      <c r="D12" s="459" t="s">
        <v>167</v>
      </c>
      <c r="E12" s="459"/>
      <c r="F12" s="212"/>
      <c r="G12" s="192" t="s">
        <v>305</v>
      </c>
    </row>
    <row r="13" spans="1:7" ht="15" customHeight="1">
      <c r="A13" s="247" t="s">
        <v>306</v>
      </c>
      <c r="B13" s="405" t="s">
        <v>479</v>
      </c>
      <c r="C13" s="211"/>
      <c r="D13" s="460" t="s">
        <v>207</v>
      </c>
      <c r="E13" s="461"/>
      <c r="F13" s="462"/>
      <c r="G13" s="193">
        <v>38068238</v>
      </c>
    </row>
    <row r="14" spans="1:7" ht="33" customHeight="1">
      <c r="A14" s="213"/>
      <c r="B14" s="407" t="s">
        <v>308</v>
      </c>
      <c r="C14" s="196"/>
      <c r="D14" s="463" t="s">
        <v>205</v>
      </c>
      <c r="E14" s="463"/>
      <c r="F14" s="212"/>
      <c r="G14" s="192" t="s">
        <v>305</v>
      </c>
    </row>
    <row r="15" spans="1:7" ht="27.75" customHeight="1">
      <c r="A15" s="248" t="s">
        <v>307</v>
      </c>
      <c r="B15" s="249" t="s">
        <v>498</v>
      </c>
      <c r="C15" s="413">
        <v>7330</v>
      </c>
      <c r="D15" s="249" t="s">
        <v>35</v>
      </c>
      <c r="E15" s="523" t="s">
        <v>520</v>
      </c>
      <c r="F15" s="523"/>
      <c r="G15" s="249" t="s">
        <v>521</v>
      </c>
    </row>
    <row r="16" spans="1:7" ht="59.25" customHeight="1">
      <c r="A16" s="243"/>
      <c r="B16" s="250" t="s">
        <v>308</v>
      </c>
      <c r="C16" s="414" t="s">
        <v>309</v>
      </c>
      <c r="D16" s="414" t="s">
        <v>310</v>
      </c>
      <c r="E16" s="524" t="s">
        <v>311</v>
      </c>
      <c r="F16" s="524"/>
      <c r="G16" s="414" t="s">
        <v>312</v>
      </c>
    </row>
    <row r="17" spans="1:7" ht="20.25" customHeight="1">
      <c r="A17" s="411" t="s">
        <v>172</v>
      </c>
      <c r="B17" s="251" t="s">
        <v>522</v>
      </c>
      <c r="C17" s="251"/>
      <c r="D17" s="9"/>
      <c r="E17" s="252">
        <f>SUM(C18+F18)</f>
        <v>32737647.25</v>
      </c>
      <c r="F17" s="9" t="s">
        <v>523</v>
      </c>
      <c r="G17" s="9"/>
    </row>
    <row r="18" spans="1:7" ht="18.75" customHeight="1">
      <c r="A18" s="411"/>
      <c r="B18" s="9" t="s">
        <v>524</v>
      </c>
      <c r="C18" s="252">
        <f>SUM(C49)</f>
        <v>0</v>
      </c>
      <c r="D18" s="9" t="s">
        <v>525</v>
      </c>
      <c r="E18" s="253" t="s">
        <v>526</v>
      </c>
      <c r="F18" s="252">
        <f>SUM(D49)</f>
        <v>32737647.25</v>
      </c>
      <c r="G18" s="9" t="s">
        <v>527</v>
      </c>
    </row>
    <row r="19" spans="1:7" ht="15.75">
      <c r="A19" s="411" t="s">
        <v>9</v>
      </c>
      <c r="B19" s="518" t="s">
        <v>528</v>
      </c>
      <c r="C19" s="518"/>
      <c r="D19" s="518"/>
      <c r="E19" s="518"/>
      <c r="F19" s="518"/>
      <c r="G19" s="518"/>
    </row>
    <row r="20" spans="1:7" ht="15.75">
      <c r="A20" s="411"/>
      <c r="B20" s="436" t="s">
        <v>529</v>
      </c>
      <c r="C20" s="436"/>
      <c r="D20" s="436"/>
      <c r="E20" s="436"/>
      <c r="F20" s="436"/>
      <c r="G20" s="436"/>
    </row>
    <row r="21" spans="1:7" ht="15.75">
      <c r="A21" s="411"/>
      <c r="B21" s="436" t="s">
        <v>530</v>
      </c>
      <c r="C21" s="436"/>
      <c r="D21" s="436"/>
      <c r="E21" s="436"/>
      <c r="F21" s="436"/>
      <c r="G21" s="436"/>
    </row>
    <row r="22" spans="1:7" ht="15.75">
      <c r="A22" s="411"/>
      <c r="B22" s="436" t="s">
        <v>531</v>
      </c>
      <c r="C22" s="436"/>
      <c r="D22" s="436"/>
      <c r="E22" s="436"/>
      <c r="F22" s="436"/>
      <c r="G22" s="436"/>
    </row>
    <row r="23" spans="1:7" ht="33.75" customHeight="1">
      <c r="A23" s="411"/>
      <c r="B23" s="436" t="s">
        <v>532</v>
      </c>
      <c r="C23" s="436"/>
      <c r="D23" s="436"/>
      <c r="E23" s="436"/>
      <c r="F23" s="436"/>
      <c r="G23" s="436"/>
    </row>
    <row r="24" spans="1:7" ht="26.25" customHeight="1">
      <c r="A24" s="411"/>
      <c r="B24" s="450" t="s">
        <v>575</v>
      </c>
      <c r="C24" s="450"/>
      <c r="D24" s="450"/>
      <c r="E24" s="450"/>
      <c r="F24" s="450"/>
      <c r="G24" s="450"/>
    </row>
    <row r="25" spans="1:7" ht="30.75" customHeight="1">
      <c r="A25" s="411"/>
      <c r="B25" s="450" t="s">
        <v>625</v>
      </c>
      <c r="C25" s="450"/>
      <c r="D25" s="450"/>
      <c r="E25" s="450"/>
      <c r="F25" s="450"/>
      <c r="G25" s="450"/>
    </row>
    <row r="26" spans="1:7" ht="46.5" customHeight="1">
      <c r="A26" s="411"/>
      <c r="B26" s="450" t="s">
        <v>576</v>
      </c>
      <c r="C26" s="450"/>
      <c r="D26" s="450"/>
      <c r="E26" s="450"/>
      <c r="F26" s="450"/>
      <c r="G26" s="450"/>
    </row>
    <row r="27" spans="1:7" ht="15.75">
      <c r="A27" s="411" t="s">
        <v>10</v>
      </c>
      <c r="B27" s="518" t="s">
        <v>41</v>
      </c>
      <c r="C27" s="518"/>
      <c r="D27" s="518"/>
      <c r="E27" s="518"/>
      <c r="F27" s="518"/>
      <c r="G27" s="518"/>
    </row>
    <row r="28" spans="1:7" ht="15.75">
      <c r="A28" s="410" t="s">
        <v>13</v>
      </c>
      <c r="B28" s="525" t="s">
        <v>234</v>
      </c>
      <c r="C28" s="525"/>
      <c r="D28" s="525"/>
      <c r="E28" s="525"/>
      <c r="F28" s="525"/>
      <c r="G28" s="525"/>
    </row>
    <row r="29" spans="1:7" ht="45.75" customHeight="1">
      <c r="A29" s="6">
        <v>1</v>
      </c>
      <c r="B29" s="502" t="s">
        <v>496</v>
      </c>
      <c r="C29" s="502"/>
      <c r="D29" s="502"/>
      <c r="E29" s="502"/>
      <c r="F29" s="502"/>
      <c r="G29" s="502"/>
    </row>
    <row r="30" spans="1:7" ht="15.75">
      <c r="A30" s="254"/>
      <c r="B30" s="255"/>
      <c r="C30" s="255"/>
      <c r="D30" s="255"/>
      <c r="E30" s="255"/>
      <c r="F30" s="255"/>
      <c r="G30" s="255"/>
    </row>
    <row r="31" spans="1:7" ht="15.75">
      <c r="A31" s="256" t="s">
        <v>11</v>
      </c>
      <c r="B31" s="255" t="s">
        <v>533</v>
      </c>
      <c r="C31" s="255"/>
      <c r="D31" s="255"/>
      <c r="E31" s="255"/>
      <c r="F31" s="255"/>
      <c r="G31" s="255"/>
    </row>
    <row r="32" spans="1:7" ht="17.25" customHeight="1">
      <c r="A32" s="256"/>
      <c r="B32" s="526" t="s">
        <v>534</v>
      </c>
      <c r="C32" s="526"/>
      <c r="D32" s="526"/>
      <c r="E32" s="526"/>
      <c r="F32" s="526"/>
      <c r="G32" s="526"/>
    </row>
    <row r="33" spans="1:7" ht="17.25" customHeight="1">
      <c r="A33" s="256"/>
      <c r="B33" s="412"/>
      <c r="C33" s="412"/>
      <c r="D33" s="412"/>
      <c r="E33" s="412"/>
      <c r="F33" s="412"/>
      <c r="G33" s="412"/>
    </row>
    <row r="34" spans="1:7" ht="15.75">
      <c r="A34" s="411" t="s">
        <v>15</v>
      </c>
      <c r="B34" s="518" t="s">
        <v>535</v>
      </c>
      <c r="C34" s="518"/>
      <c r="D34" s="518"/>
      <c r="E34" s="518"/>
      <c r="F34" s="518"/>
      <c r="G34" s="518"/>
    </row>
    <row r="35" spans="1:7" ht="15.75">
      <c r="A35" s="410" t="s">
        <v>13</v>
      </c>
      <c r="B35" s="525" t="s">
        <v>14</v>
      </c>
      <c r="C35" s="525"/>
      <c r="D35" s="525"/>
      <c r="E35" s="525"/>
      <c r="F35" s="525"/>
      <c r="G35" s="525"/>
    </row>
    <row r="36" spans="1:7" ht="33" customHeight="1">
      <c r="A36" s="6">
        <v>1</v>
      </c>
      <c r="B36" s="502" t="s">
        <v>536</v>
      </c>
      <c r="C36" s="502"/>
      <c r="D36" s="502"/>
      <c r="E36" s="502"/>
      <c r="F36" s="502"/>
      <c r="G36" s="502"/>
    </row>
    <row r="37" spans="1:7" ht="33" customHeight="1">
      <c r="A37" s="6">
        <v>2</v>
      </c>
      <c r="B37" s="502" t="s">
        <v>626</v>
      </c>
      <c r="C37" s="502"/>
      <c r="D37" s="502"/>
      <c r="E37" s="502"/>
      <c r="F37" s="502"/>
      <c r="G37" s="502"/>
    </row>
    <row r="38" spans="1:7" ht="33" customHeight="1">
      <c r="A38" s="264">
        <v>3</v>
      </c>
      <c r="B38" s="527" t="s">
        <v>7</v>
      </c>
      <c r="C38" s="528"/>
      <c r="D38" s="528"/>
      <c r="E38" s="528"/>
      <c r="F38" s="528"/>
      <c r="G38" s="529"/>
    </row>
    <row r="39" spans="1:7" ht="33" customHeight="1">
      <c r="A39" s="6">
        <v>4</v>
      </c>
      <c r="B39" s="527" t="s">
        <v>647</v>
      </c>
      <c r="C39" s="528"/>
      <c r="D39" s="528"/>
      <c r="E39" s="528"/>
      <c r="F39" s="528"/>
      <c r="G39" s="529"/>
    </row>
    <row r="40" spans="1:7" ht="15.75">
      <c r="A40" s="411"/>
      <c r="B40" s="409"/>
      <c r="C40" s="409"/>
      <c r="D40" s="409"/>
      <c r="E40" s="409"/>
      <c r="F40" s="409"/>
      <c r="G40" s="409"/>
    </row>
    <row r="41" spans="1:7" ht="15.75">
      <c r="A41" s="411" t="s">
        <v>22</v>
      </c>
      <c r="B41" s="257" t="s">
        <v>18</v>
      </c>
      <c r="C41" s="409"/>
      <c r="D41" s="409"/>
      <c r="E41" s="409"/>
      <c r="F41" s="409"/>
      <c r="G41" s="409"/>
    </row>
    <row r="42" spans="1:7" ht="15.75">
      <c r="A42" s="254"/>
      <c r="B42" s="255" t="s">
        <v>537</v>
      </c>
      <c r="C42" s="255"/>
      <c r="D42" s="255"/>
      <c r="E42" s="255"/>
      <c r="F42" s="255"/>
      <c r="G42" s="255"/>
    </row>
    <row r="43" spans="1:7" ht="31.5">
      <c r="A43" s="410" t="s">
        <v>13</v>
      </c>
      <c r="B43" s="410" t="s">
        <v>18</v>
      </c>
      <c r="C43" s="410" t="s">
        <v>19</v>
      </c>
      <c r="D43" s="410" t="s">
        <v>20</v>
      </c>
      <c r="E43" s="410" t="s">
        <v>21</v>
      </c>
      <c r="F43" s="255"/>
      <c r="G43" s="255"/>
    </row>
    <row r="44" spans="1:7" ht="15.75">
      <c r="A44" s="410">
        <v>1</v>
      </c>
      <c r="B44" s="410">
        <v>2</v>
      </c>
      <c r="C44" s="410">
        <v>3</v>
      </c>
      <c r="D44" s="410">
        <v>4</v>
      </c>
      <c r="E44" s="410">
        <v>5</v>
      </c>
      <c r="F44" s="255"/>
      <c r="G44" s="255"/>
    </row>
    <row r="45" spans="1:7" ht="110.25" customHeight="1">
      <c r="A45" s="410">
        <v>1</v>
      </c>
      <c r="B45" s="258" t="s">
        <v>536</v>
      </c>
      <c r="C45" s="259"/>
      <c r="D45" s="271">
        <v>30551582.25</v>
      </c>
      <c r="E45" s="271">
        <f>SUM(C45:D45)</f>
        <v>30551582.25</v>
      </c>
      <c r="F45" s="255"/>
      <c r="G45" s="255"/>
    </row>
    <row r="46" spans="1:7" ht="42" customHeight="1">
      <c r="A46" s="410">
        <v>2</v>
      </c>
      <c r="B46" s="258" t="str">
        <f>B37</f>
        <v>Виготовлення проектно-кошторисних документацій</v>
      </c>
      <c r="C46" s="259"/>
      <c r="D46" s="271">
        <f>25229+16534+4860+4860+12000+49458+159313+140081-159313-2721.7</f>
        <v>250300.3</v>
      </c>
      <c r="E46" s="271">
        <f>SUM(C46:D46)</f>
        <v>250300.3</v>
      </c>
      <c r="F46" s="255"/>
      <c r="G46" s="255"/>
    </row>
    <row r="47" spans="1:7" ht="37.5" customHeight="1">
      <c r="A47" s="410">
        <v>3</v>
      </c>
      <c r="B47" s="258" t="str">
        <f>B38</f>
        <v>Капітальний ремонт адміністративних будівель </v>
      </c>
      <c r="C47" s="238">
        <v>0</v>
      </c>
      <c r="D47" s="272">
        <f>1178809-10604-12000+49301+55843+538949-10142.3</f>
        <v>1790155.7</v>
      </c>
      <c r="E47" s="272">
        <f>D47</f>
        <v>1790155.7</v>
      </c>
      <c r="F47" s="255"/>
      <c r="G47" s="255"/>
    </row>
    <row r="48" spans="1:7" ht="45.75" customHeight="1">
      <c r="A48" s="410">
        <v>4</v>
      </c>
      <c r="B48" s="258" t="str">
        <f>B39</f>
        <v>Капітальний ремонт газопроводу високого тиску(заміна анодного заземлення КСС 1200 с. Масляківка</v>
      </c>
      <c r="C48" s="238"/>
      <c r="D48" s="272">
        <v>145609</v>
      </c>
      <c r="E48" s="272">
        <f>D48</f>
        <v>145609</v>
      </c>
      <c r="F48" s="255"/>
      <c r="G48" s="255"/>
    </row>
    <row r="49" spans="1:7" ht="15.75">
      <c r="A49" s="525" t="s">
        <v>21</v>
      </c>
      <c r="B49" s="525"/>
      <c r="C49" s="259">
        <f>SUM(C45:C45)</f>
        <v>0</v>
      </c>
      <c r="D49" s="271">
        <f>SUM(D45:D48)</f>
        <v>32737647.25</v>
      </c>
      <c r="E49" s="271">
        <f>SUM(E45:E48)</f>
        <v>32737647.25</v>
      </c>
      <c r="F49" s="255"/>
      <c r="G49" s="255"/>
    </row>
    <row r="50" spans="1:7" ht="15.75">
      <c r="A50" s="530" t="s">
        <v>194</v>
      </c>
      <c r="B50" s="518" t="s">
        <v>23</v>
      </c>
      <c r="C50" s="518"/>
      <c r="D50" s="518"/>
      <c r="E50" s="518"/>
      <c r="F50" s="518"/>
      <c r="G50" s="518"/>
    </row>
    <row r="51" spans="1:7" ht="15.75">
      <c r="A51" s="530"/>
      <c r="B51" s="260" t="s">
        <v>17</v>
      </c>
      <c r="C51" s="255"/>
      <c r="D51" s="255"/>
      <c r="E51" s="255"/>
      <c r="F51" s="255"/>
      <c r="G51" s="255"/>
    </row>
    <row r="52" spans="1:7" ht="31.5">
      <c r="A52" s="410" t="s">
        <v>13</v>
      </c>
      <c r="B52" s="410" t="s">
        <v>193</v>
      </c>
      <c r="C52" s="410" t="s">
        <v>19</v>
      </c>
      <c r="D52" s="410" t="s">
        <v>20</v>
      </c>
      <c r="E52" s="410" t="s">
        <v>21</v>
      </c>
      <c r="F52" s="255"/>
      <c r="G52" s="255"/>
    </row>
    <row r="53" spans="1:7" ht="15.75">
      <c r="A53" s="410">
        <v>1</v>
      </c>
      <c r="B53" s="410">
        <v>2</v>
      </c>
      <c r="C53" s="410">
        <v>3</v>
      </c>
      <c r="D53" s="410">
        <v>4</v>
      </c>
      <c r="E53" s="410">
        <v>5</v>
      </c>
      <c r="F53" s="255"/>
      <c r="G53" s="255"/>
    </row>
    <row r="54" spans="1:7" ht="78.75" customHeight="1">
      <c r="A54" s="410">
        <v>1</v>
      </c>
      <c r="B54" s="410" t="s">
        <v>581</v>
      </c>
      <c r="C54" s="410">
        <v>0</v>
      </c>
      <c r="D54" s="271">
        <f>D46+D47+D48</f>
        <v>2186065</v>
      </c>
      <c r="E54" s="271">
        <f>SUM(C54:D54)</f>
        <v>2186065</v>
      </c>
      <c r="F54" s="255"/>
      <c r="G54" s="255"/>
    </row>
    <row r="55" spans="1:7" ht="67.5" customHeight="1">
      <c r="A55" s="410">
        <v>2</v>
      </c>
      <c r="B55" s="415" t="s">
        <v>574</v>
      </c>
      <c r="C55" s="259">
        <f>SUM(C49)</f>
        <v>0</v>
      </c>
      <c r="D55" s="271">
        <f>D49-D54</f>
        <v>30551582.25</v>
      </c>
      <c r="E55" s="271">
        <f>SUM(C55:D55)</f>
        <v>30551582.25</v>
      </c>
      <c r="F55" s="255"/>
      <c r="G55" s="255"/>
    </row>
    <row r="56" spans="1:7" ht="15.75">
      <c r="A56" s="525" t="s">
        <v>21</v>
      </c>
      <c r="B56" s="525"/>
      <c r="C56" s="259">
        <f>SUM(C55)</f>
        <v>0</v>
      </c>
      <c r="D56" s="271">
        <f>SUM(D54:D55)</f>
        <v>32737647.25</v>
      </c>
      <c r="E56" s="271">
        <f>SUM(E54:E55)</f>
        <v>32737647.25</v>
      </c>
      <c r="F56" s="255"/>
      <c r="G56" s="255"/>
    </row>
    <row r="57" spans="1:7" ht="15.75">
      <c r="A57" s="254"/>
      <c r="B57" s="255"/>
      <c r="C57" s="255"/>
      <c r="D57" s="255"/>
      <c r="E57" s="255"/>
      <c r="F57" s="255"/>
      <c r="G57" s="255"/>
    </row>
    <row r="58" spans="1:7" ht="15.75">
      <c r="A58" s="411" t="s">
        <v>47</v>
      </c>
      <c r="B58" s="518" t="s">
        <v>195</v>
      </c>
      <c r="C58" s="518"/>
      <c r="D58" s="518"/>
      <c r="E58" s="518"/>
      <c r="F58" s="518"/>
      <c r="G58" s="518"/>
    </row>
    <row r="59" spans="1:7" ht="26.25" customHeight="1">
      <c r="A59" s="410" t="s">
        <v>13</v>
      </c>
      <c r="B59" s="410" t="s">
        <v>196</v>
      </c>
      <c r="C59" s="410" t="s">
        <v>197</v>
      </c>
      <c r="D59" s="410" t="s">
        <v>198</v>
      </c>
      <c r="E59" s="410" t="s">
        <v>19</v>
      </c>
      <c r="F59" s="410" t="s">
        <v>20</v>
      </c>
      <c r="G59" s="410" t="s">
        <v>21</v>
      </c>
    </row>
    <row r="60" spans="1:7" ht="15.75">
      <c r="A60" s="410">
        <v>1</v>
      </c>
      <c r="B60" s="410">
        <v>2</v>
      </c>
      <c r="C60" s="410">
        <v>3</v>
      </c>
      <c r="D60" s="410">
        <v>4</v>
      </c>
      <c r="E60" s="410">
        <v>5</v>
      </c>
      <c r="F60" s="410">
        <v>6</v>
      </c>
      <c r="G60" s="410">
        <v>7</v>
      </c>
    </row>
    <row r="61" spans="1:7" ht="31.5" customHeight="1">
      <c r="A61" s="410"/>
      <c r="B61" s="531" t="s">
        <v>538</v>
      </c>
      <c r="C61" s="531"/>
      <c r="D61" s="531"/>
      <c r="E61" s="531"/>
      <c r="F61" s="531"/>
      <c r="G61" s="531"/>
    </row>
    <row r="62" spans="1:7" ht="15.75">
      <c r="A62" s="6">
        <v>1</v>
      </c>
      <c r="B62" s="7" t="s">
        <v>199</v>
      </c>
      <c r="C62" s="6"/>
      <c r="D62" s="6"/>
      <c r="E62" s="410"/>
      <c r="F62" s="410"/>
      <c r="G62" s="410"/>
    </row>
    <row r="63" spans="1:7" ht="15.75">
      <c r="A63" s="6"/>
      <c r="B63" s="7" t="s">
        <v>57</v>
      </c>
      <c r="C63" s="6" t="s">
        <v>537</v>
      </c>
      <c r="D63" s="6" t="s">
        <v>61</v>
      </c>
      <c r="E63" s="259">
        <f>SUM(C45)</f>
        <v>0</v>
      </c>
      <c r="F63" s="271">
        <f>SUM(D45)</f>
        <v>30551582.25</v>
      </c>
      <c r="G63" s="271">
        <f>SUM(E63:F63)</f>
        <v>30551582.25</v>
      </c>
    </row>
    <row r="64" spans="1:7" ht="15.75">
      <c r="A64" s="6">
        <v>2</v>
      </c>
      <c r="B64" s="7" t="s">
        <v>200</v>
      </c>
      <c r="C64" s="6"/>
      <c r="D64" s="6"/>
      <c r="E64" s="410"/>
      <c r="F64" s="410"/>
      <c r="G64" s="410"/>
    </row>
    <row r="65" spans="1:7" ht="45">
      <c r="A65" s="7"/>
      <c r="B65" s="31" t="s">
        <v>539</v>
      </c>
      <c r="C65" s="6" t="s">
        <v>540</v>
      </c>
      <c r="D65" s="6" t="s">
        <v>70</v>
      </c>
      <c r="E65" s="410"/>
      <c r="F65" s="410">
        <v>19272</v>
      </c>
      <c r="G65" s="410">
        <f>SUM(E65:F65)</f>
        <v>19272</v>
      </c>
    </row>
    <row r="66" spans="1:7" ht="15.75">
      <c r="A66" s="6">
        <v>3</v>
      </c>
      <c r="B66" s="31" t="s">
        <v>201</v>
      </c>
      <c r="C66" s="6"/>
      <c r="D66" s="6"/>
      <c r="E66" s="410"/>
      <c r="F66" s="410"/>
      <c r="G66" s="410"/>
    </row>
    <row r="67" spans="1:7" ht="30">
      <c r="A67" s="6"/>
      <c r="B67" s="31" t="s">
        <v>541</v>
      </c>
      <c r="C67" s="6" t="s">
        <v>537</v>
      </c>
      <c r="D67" s="6" t="s">
        <v>70</v>
      </c>
      <c r="E67" s="259"/>
      <c r="F67" s="259">
        <f>SUM(F63/F65)</f>
        <v>1585.2834293275218</v>
      </c>
      <c r="G67" s="259">
        <f>SUM(E67:F67)</f>
        <v>1585.2834293275218</v>
      </c>
    </row>
    <row r="68" spans="1:7" ht="15.75">
      <c r="A68" s="6">
        <v>4</v>
      </c>
      <c r="B68" s="7" t="s">
        <v>202</v>
      </c>
      <c r="C68" s="6"/>
      <c r="D68" s="6"/>
      <c r="E68" s="410"/>
      <c r="F68" s="410"/>
      <c r="G68" s="410"/>
    </row>
    <row r="69" spans="1:7" ht="47.25">
      <c r="A69" s="6"/>
      <c r="B69" s="7" t="s">
        <v>542</v>
      </c>
      <c r="C69" s="6" t="s">
        <v>71</v>
      </c>
      <c r="D69" s="6" t="s">
        <v>70</v>
      </c>
      <c r="E69" s="410"/>
      <c r="F69" s="410">
        <v>100</v>
      </c>
      <c r="G69" s="410">
        <f>SUM(E69:F69)</f>
        <v>100</v>
      </c>
    </row>
    <row r="70" spans="1:7" ht="18.75" customHeight="1">
      <c r="A70" s="410"/>
      <c r="B70" s="532" t="s">
        <v>627</v>
      </c>
      <c r="C70" s="533"/>
      <c r="D70" s="533"/>
      <c r="E70" s="533"/>
      <c r="F70" s="533"/>
      <c r="G70" s="534"/>
    </row>
    <row r="71" spans="1:7" ht="15.75">
      <c r="A71" s="6">
        <v>1</v>
      </c>
      <c r="B71" s="7" t="s">
        <v>199</v>
      </c>
      <c r="C71" s="6"/>
      <c r="D71" s="6"/>
      <c r="E71" s="410"/>
      <c r="F71" s="410"/>
      <c r="G71" s="410"/>
    </row>
    <row r="72" spans="1:7" ht="15.75">
      <c r="A72" s="6"/>
      <c r="B72" s="7" t="s">
        <v>57</v>
      </c>
      <c r="C72" s="6" t="s">
        <v>537</v>
      </c>
      <c r="D72" s="6" t="s">
        <v>61</v>
      </c>
      <c r="E72" s="259">
        <f>SUM(C55)</f>
        <v>0</v>
      </c>
      <c r="F72" s="259">
        <f>25229+16534+4860+4860+49458+12000+140081+159313-159313-2721.7</f>
        <v>250300.3</v>
      </c>
      <c r="G72" s="259">
        <f>SUM(E72:F72)</f>
        <v>250300.3</v>
      </c>
    </row>
    <row r="73" spans="1:7" ht="15.75">
      <c r="A73" s="6">
        <v>2</v>
      </c>
      <c r="B73" s="7" t="s">
        <v>200</v>
      </c>
      <c r="C73" s="6"/>
      <c r="D73" s="6"/>
      <c r="E73" s="410"/>
      <c r="F73" s="410"/>
      <c r="G73" s="410"/>
    </row>
    <row r="74" spans="1:7" ht="15.75">
      <c r="A74" s="7"/>
      <c r="B74" s="7" t="s">
        <v>365</v>
      </c>
      <c r="C74" s="6" t="s">
        <v>251</v>
      </c>
      <c r="D74" s="6" t="s">
        <v>70</v>
      </c>
      <c r="E74" s="410"/>
      <c r="F74" s="410">
        <v>7</v>
      </c>
      <c r="G74" s="410">
        <f>SUM(E74:F74)</f>
        <v>7</v>
      </c>
    </row>
    <row r="75" spans="1:7" ht="15.75">
      <c r="A75" s="6">
        <v>3</v>
      </c>
      <c r="B75" s="31" t="s">
        <v>201</v>
      </c>
      <c r="C75" s="6"/>
      <c r="D75" s="6"/>
      <c r="E75" s="410"/>
      <c r="F75" s="410"/>
      <c r="G75" s="410"/>
    </row>
    <row r="76" spans="1:7" ht="15.75">
      <c r="A76" s="6"/>
      <c r="B76" s="31" t="s">
        <v>543</v>
      </c>
      <c r="C76" s="6" t="s">
        <v>537</v>
      </c>
      <c r="D76" s="6" t="s">
        <v>70</v>
      </c>
      <c r="E76" s="259"/>
      <c r="F76" s="259">
        <f>SUM(F72/F74)</f>
        <v>35757.18571428571</v>
      </c>
      <c r="G76" s="259">
        <f>SUM(E76:F76)</f>
        <v>35757.18571428571</v>
      </c>
    </row>
    <row r="77" spans="1:7" ht="15.75">
      <c r="A77" s="6">
        <v>4</v>
      </c>
      <c r="B77" s="7" t="s">
        <v>202</v>
      </c>
      <c r="C77" s="6"/>
      <c r="D77" s="6"/>
      <c r="E77" s="410"/>
      <c r="F77" s="410"/>
      <c r="G77" s="410"/>
    </row>
    <row r="78" spans="1:7" ht="47.25">
      <c r="A78" s="6"/>
      <c r="B78" s="7" t="s">
        <v>542</v>
      </c>
      <c r="C78" s="6" t="s">
        <v>71</v>
      </c>
      <c r="D78" s="6" t="s">
        <v>70</v>
      </c>
      <c r="E78" s="410"/>
      <c r="F78" s="410">
        <v>100</v>
      </c>
      <c r="G78" s="410">
        <f>SUM(E78:F78)</f>
        <v>100</v>
      </c>
    </row>
    <row r="79" spans="1:7" ht="27" customHeight="1">
      <c r="A79" s="410"/>
      <c r="B79" s="531" t="s">
        <v>628</v>
      </c>
      <c r="C79" s="531"/>
      <c r="D79" s="531"/>
      <c r="E79" s="531"/>
      <c r="F79" s="531"/>
      <c r="G79" s="531"/>
    </row>
    <row r="80" spans="1:7" ht="15.75">
      <c r="A80" s="6">
        <v>1</v>
      </c>
      <c r="B80" s="7" t="s">
        <v>199</v>
      </c>
      <c r="C80" s="6"/>
      <c r="D80" s="6"/>
      <c r="E80" s="410"/>
      <c r="F80" s="410"/>
      <c r="G80" s="410"/>
    </row>
    <row r="81" spans="1:7" ht="15.75">
      <c r="A81" s="6"/>
      <c r="B81" s="7" t="s">
        <v>57</v>
      </c>
      <c r="C81" s="6" t="s">
        <v>537</v>
      </c>
      <c r="D81" s="6" t="s">
        <v>61</v>
      </c>
      <c r="E81" s="259">
        <f>SUM(C65)</f>
        <v>0</v>
      </c>
      <c r="F81" s="259">
        <f>D47</f>
        <v>1790155.7</v>
      </c>
      <c r="G81" s="259">
        <f>SUM(E81:F81)</f>
        <v>1790155.7</v>
      </c>
    </row>
    <row r="82" spans="1:7" ht="15.75">
      <c r="A82" s="6">
        <v>2</v>
      </c>
      <c r="B82" s="7" t="s">
        <v>200</v>
      </c>
      <c r="C82" s="6"/>
      <c r="D82" s="6"/>
      <c r="E82" s="410"/>
      <c r="F82" s="410"/>
      <c r="G82" s="410"/>
    </row>
    <row r="83" spans="1:7" ht="31.5">
      <c r="A83" s="7"/>
      <c r="B83" s="143" t="s">
        <v>146</v>
      </c>
      <c r="C83" s="6" t="s">
        <v>251</v>
      </c>
      <c r="D83" s="6" t="s">
        <v>70</v>
      </c>
      <c r="E83" s="410"/>
      <c r="F83" s="391">
        <v>3</v>
      </c>
      <c r="G83" s="410">
        <f>SUM(E83:F83)</f>
        <v>3</v>
      </c>
    </row>
    <row r="84" spans="1:7" ht="15.75">
      <c r="A84" s="6">
        <v>3</v>
      </c>
      <c r="B84" s="31" t="s">
        <v>201</v>
      </c>
      <c r="C84" s="6"/>
      <c r="D84" s="6"/>
      <c r="E84" s="410"/>
      <c r="F84" s="410"/>
      <c r="G84" s="410"/>
    </row>
    <row r="85" spans="1:7" ht="15.75">
      <c r="A85" s="6"/>
      <c r="B85" s="31" t="s">
        <v>629</v>
      </c>
      <c r="C85" s="6" t="s">
        <v>537</v>
      </c>
      <c r="D85" s="6" t="s">
        <v>70</v>
      </c>
      <c r="E85" s="259"/>
      <c r="F85" s="259">
        <f>SUM(F81/F83)</f>
        <v>596718.5666666667</v>
      </c>
      <c r="G85" s="259">
        <f>SUM(E85:F85)</f>
        <v>596718.5666666667</v>
      </c>
    </row>
    <row r="86" spans="1:7" ht="15.75">
      <c r="A86" s="6">
        <v>4</v>
      </c>
      <c r="B86" s="7" t="s">
        <v>202</v>
      </c>
      <c r="C86" s="6"/>
      <c r="D86" s="6"/>
      <c r="E86" s="410"/>
      <c r="F86" s="410"/>
      <c r="G86" s="410"/>
    </row>
    <row r="87" spans="1:7" ht="47.25">
      <c r="A87" s="6"/>
      <c r="B87" s="7" t="s">
        <v>542</v>
      </c>
      <c r="C87" s="6" t="s">
        <v>71</v>
      </c>
      <c r="D87" s="6" t="s">
        <v>70</v>
      </c>
      <c r="E87" s="410"/>
      <c r="F87" s="410">
        <v>100</v>
      </c>
      <c r="G87" s="410">
        <f>SUM(E87:F87)</f>
        <v>100</v>
      </c>
    </row>
    <row r="88" spans="1:7" ht="15.75">
      <c r="A88" s="16"/>
      <c r="B88" s="531" t="s">
        <v>648</v>
      </c>
      <c r="C88" s="531"/>
      <c r="D88" s="531"/>
      <c r="E88" s="531"/>
      <c r="F88" s="531"/>
      <c r="G88" s="531"/>
    </row>
    <row r="89" spans="1:7" ht="15.75">
      <c r="A89" s="6">
        <v>1</v>
      </c>
      <c r="B89" s="7" t="s">
        <v>199</v>
      </c>
      <c r="C89" s="6"/>
      <c r="D89" s="6"/>
      <c r="E89" s="410"/>
      <c r="F89" s="410"/>
      <c r="G89" s="410"/>
    </row>
    <row r="90" spans="1:7" ht="15.75">
      <c r="A90" s="6"/>
      <c r="B90" s="7" t="s">
        <v>57</v>
      </c>
      <c r="C90" s="6" t="s">
        <v>537</v>
      </c>
      <c r="D90" s="6" t="s">
        <v>61</v>
      </c>
      <c r="E90" s="259">
        <f>SUM(C74)</f>
        <v>0</v>
      </c>
      <c r="F90" s="259">
        <f>E48</f>
        <v>145609</v>
      </c>
      <c r="G90" s="259">
        <f>SUM(E90:F90)</f>
        <v>145609</v>
      </c>
    </row>
    <row r="91" spans="1:7" ht="15.75">
      <c r="A91" s="6">
        <v>2</v>
      </c>
      <c r="B91" s="7" t="s">
        <v>200</v>
      </c>
      <c r="C91" s="6"/>
      <c r="D91" s="6"/>
      <c r="E91" s="410"/>
      <c r="F91" s="410"/>
      <c r="G91" s="410"/>
    </row>
    <row r="92" spans="1:7" ht="31.5">
      <c r="A92" s="7"/>
      <c r="B92" s="143" t="s">
        <v>146</v>
      </c>
      <c r="C92" s="6" t="s">
        <v>251</v>
      </c>
      <c r="D92" s="6" t="s">
        <v>70</v>
      </c>
      <c r="E92" s="410"/>
      <c r="F92" s="391">
        <v>1</v>
      </c>
      <c r="G92" s="410">
        <f>SUM(E92:F92)</f>
        <v>1</v>
      </c>
    </row>
    <row r="93" spans="1:7" ht="15.75">
      <c r="A93" s="6">
        <v>3</v>
      </c>
      <c r="B93" s="31" t="s">
        <v>201</v>
      </c>
      <c r="C93" s="6"/>
      <c r="D93" s="6"/>
      <c r="E93" s="410"/>
      <c r="F93" s="410"/>
      <c r="G93" s="410"/>
    </row>
    <row r="94" spans="1:7" ht="15.75">
      <c r="A94" s="6"/>
      <c r="B94" s="31" t="s">
        <v>629</v>
      </c>
      <c r="C94" s="6" t="s">
        <v>537</v>
      </c>
      <c r="D94" s="6" t="s">
        <v>70</v>
      </c>
      <c r="E94" s="259"/>
      <c r="F94" s="259">
        <f>SUM(F90/F92)</f>
        <v>145609</v>
      </c>
      <c r="G94" s="259">
        <f>SUM(E94:F94)</f>
        <v>145609</v>
      </c>
    </row>
    <row r="95" spans="1:7" ht="15.75">
      <c r="A95" s="6">
        <v>4</v>
      </c>
      <c r="B95" s="7" t="s">
        <v>202</v>
      </c>
      <c r="C95" s="6"/>
      <c r="D95" s="6"/>
      <c r="E95" s="410"/>
      <c r="F95" s="410"/>
      <c r="G95" s="410"/>
    </row>
    <row r="96" spans="1:7" ht="47.25">
      <c r="A96" s="6"/>
      <c r="B96" s="7" t="s">
        <v>542</v>
      </c>
      <c r="C96" s="6" t="s">
        <v>71</v>
      </c>
      <c r="D96" s="6" t="s">
        <v>70</v>
      </c>
      <c r="E96" s="410"/>
      <c r="F96" s="410">
        <v>100</v>
      </c>
      <c r="G96" s="410">
        <f>SUM(E96:F96)</f>
        <v>100</v>
      </c>
    </row>
    <row r="97" spans="1:7" ht="15.75">
      <c r="A97" s="3" t="s">
        <v>73</v>
      </c>
      <c r="B97" s="3"/>
      <c r="C97" s="3"/>
      <c r="D97" s="8"/>
      <c r="E97" s="75"/>
      <c r="F97" s="430" t="s">
        <v>74</v>
      </c>
      <c r="G97" s="430"/>
    </row>
    <row r="98" spans="1:7" ht="15">
      <c r="A98" s="85"/>
      <c r="B98" s="85"/>
      <c r="C98" s="85"/>
      <c r="D98" s="5" t="s">
        <v>203</v>
      </c>
      <c r="E98" s="86"/>
      <c r="F98" s="431" t="s">
        <v>75</v>
      </c>
      <c r="G98" s="432"/>
    </row>
    <row r="99" spans="1:7" ht="15.75">
      <c r="A99" s="433" t="s">
        <v>204</v>
      </c>
      <c r="B99" s="433"/>
      <c r="C99" s="85"/>
      <c r="D99" s="4"/>
      <c r="E99" s="85"/>
      <c r="F99" s="85"/>
      <c r="G99" s="85"/>
    </row>
    <row r="100" spans="1:7" ht="15.75">
      <c r="A100" s="3" t="s">
        <v>281</v>
      </c>
      <c r="B100" s="3"/>
      <c r="C100" s="3"/>
      <c r="D100" s="8"/>
      <c r="E100" s="75"/>
      <c r="F100" s="430" t="s">
        <v>76</v>
      </c>
      <c r="G100" s="430"/>
    </row>
    <row r="101" spans="1:7" ht="15.75">
      <c r="A101" s="3" t="s">
        <v>286</v>
      </c>
      <c r="B101" s="187"/>
      <c r="C101" s="85"/>
      <c r="D101" s="5" t="s">
        <v>203</v>
      </c>
      <c r="E101" s="5"/>
      <c r="F101" s="431" t="s">
        <v>75</v>
      </c>
      <c r="G101" s="432"/>
    </row>
    <row r="102" spans="1:7" ht="15">
      <c r="A102" s="4"/>
      <c r="B102" s="188"/>
      <c r="C102" s="4"/>
      <c r="D102" s="4"/>
      <c r="E102" s="4"/>
      <c r="F102" s="4"/>
      <c r="G102" s="4"/>
    </row>
    <row r="103" spans="1:7" ht="15">
      <c r="A103" s="4"/>
      <c r="B103" s="93" t="s">
        <v>181</v>
      </c>
      <c r="C103" s="4"/>
      <c r="D103" s="4"/>
      <c r="E103" s="4"/>
      <c r="F103" s="4"/>
      <c r="G103" s="4"/>
    </row>
    <row r="104" spans="1:7" ht="15">
      <c r="A104" s="4"/>
      <c r="B104" s="4" t="s">
        <v>163</v>
      </c>
      <c r="C104" s="4"/>
      <c r="D104" s="4"/>
      <c r="E104" s="4"/>
      <c r="F104" s="4"/>
      <c r="G104" s="4"/>
    </row>
  </sheetData>
  <sheetProtection/>
  <mergeCells count="45">
    <mergeCell ref="A99:B99"/>
    <mergeCell ref="F100:G100"/>
    <mergeCell ref="F101:G101"/>
    <mergeCell ref="B61:G61"/>
    <mergeCell ref="B70:G70"/>
    <mergeCell ref="B79:G79"/>
    <mergeCell ref="B88:G88"/>
    <mergeCell ref="F97:G97"/>
    <mergeCell ref="F98:G98"/>
    <mergeCell ref="B39:G39"/>
    <mergeCell ref="A49:B49"/>
    <mergeCell ref="A50:A51"/>
    <mergeCell ref="B50:G50"/>
    <mergeCell ref="A56:B56"/>
    <mergeCell ref="B58:G58"/>
    <mergeCell ref="B32:G32"/>
    <mergeCell ref="B34:G34"/>
    <mergeCell ref="B35:G35"/>
    <mergeCell ref="B36:G36"/>
    <mergeCell ref="B37:G37"/>
    <mergeCell ref="B38:G38"/>
    <mergeCell ref="B24:G24"/>
    <mergeCell ref="B25:G25"/>
    <mergeCell ref="B26:G26"/>
    <mergeCell ref="B27:G27"/>
    <mergeCell ref="B28:G28"/>
    <mergeCell ref="B29:G29"/>
    <mergeCell ref="E16:F16"/>
    <mergeCell ref="B19:G19"/>
    <mergeCell ref="B20:G20"/>
    <mergeCell ref="B21:G21"/>
    <mergeCell ref="B22:G22"/>
    <mergeCell ref="B23:G23"/>
    <mergeCell ref="A9:G9"/>
    <mergeCell ref="D11:F11"/>
    <mergeCell ref="D12:E12"/>
    <mergeCell ref="D13:F13"/>
    <mergeCell ref="D14:E14"/>
    <mergeCell ref="E15:F15"/>
    <mergeCell ref="E1:G2"/>
    <mergeCell ref="E4:G4"/>
    <mergeCell ref="E5:G5"/>
    <mergeCell ref="E6:G6"/>
    <mergeCell ref="E7:G7"/>
    <mergeCell ref="A8:G8"/>
  </mergeCells>
  <printOptions horizontalCentered="1" verticalCentered="1"/>
  <pageMargins left="0.31496062992125984" right="0.5118110236220472" top="1.141732283464567" bottom="0.35433070866141736" header="0.31496062992125984" footer="0.31496062992125984"/>
  <pageSetup fitToHeight="4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89"/>
  <sheetViews>
    <sheetView zoomScalePageLayoutView="0" workbookViewId="0" topLeftCell="A21">
      <selection activeCell="B30" sqref="B30:D30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7" width="21.57421875" style="4" customWidth="1"/>
    <col min="8" max="8" width="22.140625" style="4" customWidth="1"/>
    <col min="9" max="16384" width="21.57421875" style="4" customWidth="1"/>
  </cols>
  <sheetData>
    <row r="1" spans="5:7" ht="77.25" customHeight="1">
      <c r="E1" s="484" t="s">
        <v>299</v>
      </c>
      <c r="F1" s="471"/>
      <c r="G1" s="471"/>
    </row>
    <row r="2" spans="1:5" ht="15.75">
      <c r="A2" s="1"/>
      <c r="E2" s="1"/>
    </row>
    <row r="3" spans="1:5" ht="15.75">
      <c r="A3" s="1"/>
      <c r="E3" s="1" t="s">
        <v>166</v>
      </c>
    </row>
    <row r="4" spans="1:7" ht="15.75" customHeight="1">
      <c r="A4" s="1"/>
      <c r="E4" s="468" t="s">
        <v>95</v>
      </c>
      <c r="F4" s="468"/>
      <c r="G4" s="468"/>
    </row>
    <row r="5" spans="1:7" ht="15.75">
      <c r="A5" s="1"/>
      <c r="B5" s="1"/>
      <c r="E5" s="469" t="s">
        <v>207</v>
      </c>
      <c r="F5" s="469"/>
      <c r="G5" s="469"/>
    </row>
    <row r="6" spans="1:7" ht="15" customHeight="1">
      <c r="A6" s="1"/>
      <c r="E6" s="470" t="s">
        <v>167</v>
      </c>
      <c r="F6" s="470"/>
      <c r="G6" s="470"/>
    </row>
    <row r="7" spans="5:7" ht="15">
      <c r="E7" s="443" t="s">
        <v>94</v>
      </c>
      <c r="F7" s="471"/>
      <c r="G7" s="471"/>
    </row>
    <row r="9" spans="1:7" ht="15.75">
      <c r="A9" s="455" t="s">
        <v>168</v>
      </c>
      <c r="B9" s="455"/>
      <c r="C9" s="455"/>
      <c r="D9" s="455"/>
      <c r="E9" s="455"/>
      <c r="F9" s="455"/>
      <c r="G9" s="455"/>
    </row>
    <row r="10" spans="1:7" ht="15.75">
      <c r="A10" s="455" t="s">
        <v>315</v>
      </c>
      <c r="B10" s="455"/>
      <c r="C10" s="455"/>
      <c r="D10" s="455"/>
      <c r="E10" s="455"/>
      <c r="F10" s="455"/>
      <c r="G10" s="455"/>
    </row>
    <row r="11" spans="1:7" ht="15.75">
      <c r="A11" s="156"/>
      <c r="B11" s="156"/>
      <c r="C11" s="156"/>
      <c r="D11" s="156"/>
      <c r="E11" s="156"/>
      <c r="F11" s="156"/>
      <c r="G11" s="156"/>
    </row>
    <row r="12" spans="1:7" ht="15" customHeight="1">
      <c r="A12" s="214" t="s">
        <v>304</v>
      </c>
      <c r="B12" s="405" t="s">
        <v>478</v>
      </c>
      <c r="C12" s="210"/>
      <c r="D12" s="456" t="s">
        <v>207</v>
      </c>
      <c r="E12" s="457"/>
      <c r="F12" s="458"/>
      <c r="G12" s="190">
        <v>38068238</v>
      </c>
    </row>
    <row r="13" spans="2:7" ht="30.75" customHeight="1">
      <c r="B13" s="407" t="s">
        <v>308</v>
      </c>
      <c r="C13" s="196"/>
      <c r="D13" s="459" t="s">
        <v>167</v>
      </c>
      <c r="E13" s="459"/>
      <c r="F13" s="212"/>
      <c r="G13" s="192" t="s">
        <v>305</v>
      </c>
    </row>
    <row r="14" spans="1:7" ht="15" customHeight="1">
      <c r="A14" s="213" t="s">
        <v>306</v>
      </c>
      <c r="B14" s="405" t="s">
        <v>479</v>
      </c>
      <c r="C14" s="211"/>
      <c r="D14" s="460" t="s">
        <v>207</v>
      </c>
      <c r="E14" s="461"/>
      <c r="F14" s="462"/>
      <c r="G14" s="193">
        <v>38068238</v>
      </c>
    </row>
    <row r="15" spans="1:7" ht="34.5" customHeight="1">
      <c r="A15" s="213"/>
      <c r="B15" s="407" t="s">
        <v>308</v>
      </c>
      <c r="C15" s="196"/>
      <c r="D15" s="463" t="s">
        <v>205</v>
      </c>
      <c r="E15" s="463"/>
      <c r="F15" s="212"/>
      <c r="G15" s="192" t="s">
        <v>305</v>
      </c>
    </row>
    <row r="16" spans="1:7" ht="51" customHeight="1">
      <c r="A16" s="194" t="s">
        <v>307</v>
      </c>
      <c r="B16" s="405" t="s">
        <v>357</v>
      </c>
      <c r="C16" s="405" t="s">
        <v>358</v>
      </c>
      <c r="D16" s="405" t="s">
        <v>35</v>
      </c>
      <c r="E16" s="464" t="s">
        <v>359</v>
      </c>
      <c r="F16" s="465"/>
      <c r="G16" s="405" t="s">
        <v>477</v>
      </c>
    </row>
    <row r="17" spans="1:7" ht="46.5" customHeight="1">
      <c r="A17" s="195"/>
      <c r="B17" s="196" t="s">
        <v>308</v>
      </c>
      <c r="C17" s="407" t="s">
        <v>309</v>
      </c>
      <c r="D17" s="191" t="s">
        <v>310</v>
      </c>
      <c r="E17" s="454" t="s">
        <v>311</v>
      </c>
      <c r="F17" s="454"/>
      <c r="G17" s="407" t="s">
        <v>312</v>
      </c>
    </row>
    <row r="18" spans="1:7" ht="51" customHeight="1">
      <c r="A18" s="2" t="s">
        <v>172</v>
      </c>
      <c r="B18" s="9" t="s">
        <v>210</v>
      </c>
      <c r="C18" s="95">
        <f>E18+G18</f>
        <v>72900</v>
      </c>
      <c r="D18" s="9" t="s">
        <v>43</v>
      </c>
      <c r="E18" s="95">
        <f>689000-178054-80946-300000-57100</f>
        <v>72900</v>
      </c>
      <c r="F18" s="9" t="s">
        <v>44</v>
      </c>
      <c r="G18" s="95">
        <v>0</v>
      </c>
    </row>
    <row r="19" spans="1:7" ht="15.75">
      <c r="A19" s="2" t="s">
        <v>9</v>
      </c>
      <c r="B19" s="436" t="s">
        <v>209</v>
      </c>
      <c r="C19" s="436"/>
      <c r="D19" s="436"/>
      <c r="E19" s="436"/>
      <c r="F19" s="436"/>
      <c r="G19" s="436"/>
    </row>
    <row r="20" spans="1:7" ht="17.25" customHeight="1">
      <c r="A20" s="2"/>
      <c r="B20" s="436" t="s">
        <v>211</v>
      </c>
      <c r="C20" s="436"/>
      <c r="D20" s="436"/>
      <c r="E20" s="436"/>
      <c r="F20" s="436"/>
      <c r="G20" s="436"/>
    </row>
    <row r="21" spans="1:7" ht="19.5" customHeight="1">
      <c r="A21" s="2"/>
      <c r="B21" s="436" t="s">
        <v>213</v>
      </c>
      <c r="C21" s="436"/>
      <c r="D21" s="436"/>
      <c r="E21" s="436"/>
      <c r="F21" s="436"/>
      <c r="G21" s="436"/>
    </row>
    <row r="22" spans="1:7" ht="21.75" customHeight="1">
      <c r="A22" s="2"/>
      <c r="B22" s="436" t="s">
        <v>316</v>
      </c>
      <c r="C22" s="436"/>
      <c r="D22" s="436"/>
      <c r="E22" s="436"/>
      <c r="F22" s="436"/>
      <c r="G22" s="436"/>
    </row>
    <row r="23" spans="1:7" ht="31.5" customHeight="1">
      <c r="A23" s="2"/>
      <c r="B23" s="436" t="s">
        <v>144</v>
      </c>
      <c r="C23" s="436"/>
      <c r="D23" s="436"/>
      <c r="E23" s="436"/>
      <c r="F23" s="436"/>
      <c r="G23" s="436"/>
    </row>
    <row r="24" spans="1:7" ht="33.75" customHeight="1">
      <c r="A24" s="2"/>
      <c r="B24" s="450" t="s">
        <v>630</v>
      </c>
      <c r="C24" s="450"/>
      <c r="D24" s="450"/>
      <c r="E24" s="450"/>
      <c r="F24" s="450"/>
      <c r="G24" s="450"/>
    </row>
    <row r="25" spans="1:7" ht="30" customHeight="1">
      <c r="A25" s="2"/>
      <c r="B25" s="450" t="s">
        <v>616</v>
      </c>
      <c r="C25" s="450"/>
      <c r="D25" s="450"/>
      <c r="E25" s="450"/>
      <c r="F25" s="450"/>
      <c r="G25" s="450"/>
    </row>
    <row r="26" spans="1:7" ht="33.75" customHeight="1">
      <c r="A26" s="2" t="s">
        <v>10</v>
      </c>
      <c r="B26" s="436" t="s">
        <v>41</v>
      </c>
      <c r="C26" s="436"/>
      <c r="D26" s="436"/>
      <c r="E26" s="436"/>
      <c r="F26" s="436"/>
      <c r="G26" s="436"/>
    </row>
    <row r="27" spans="1:7" ht="24.75" customHeight="1">
      <c r="A27" s="6"/>
      <c r="B27" s="451" t="s">
        <v>234</v>
      </c>
      <c r="C27" s="452"/>
      <c r="D27" s="452"/>
      <c r="E27" s="452"/>
      <c r="F27" s="452"/>
      <c r="G27" s="453"/>
    </row>
    <row r="28" spans="1:7" ht="33.75" customHeight="1">
      <c r="A28" s="6" t="s">
        <v>169</v>
      </c>
      <c r="B28" s="502" t="s">
        <v>360</v>
      </c>
      <c r="C28" s="502"/>
      <c r="D28" s="502"/>
      <c r="E28" s="502"/>
      <c r="F28" s="502"/>
      <c r="G28" s="502"/>
    </row>
    <row r="29" spans="1:7" ht="39.75" customHeight="1">
      <c r="A29" s="2" t="s">
        <v>11</v>
      </c>
      <c r="B29" s="436" t="s">
        <v>36</v>
      </c>
      <c r="C29" s="436"/>
      <c r="D29" s="436"/>
      <c r="E29" s="436"/>
      <c r="F29" s="436"/>
      <c r="G29" s="436"/>
    </row>
    <row r="30" spans="1:4" ht="31.5" customHeight="1">
      <c r="A30" s="2" t="s">
        <v>15</v>
      </c>
      <c r="B30" s="443" t="s">
        <v>12</v>
      </c>
      <c r="C30" s="443"/>
      <c r="D30" s="443"/>
    </row>
    <row r="31" ht="15.75">
      <c r="A31" s="3"/>
    </row>
    <row r="32" spans="1:7" ht="15.75">
      <c r="A32" s="6" t="s">
        <v>13</v>
      </c>
      <c r="B32" s="444" t="s">
        <v>14</v>
      </c>
      <c r="C32" s="444"/>
      <c r="D32" s="444"/>
      <c r="E32" s="444"/>
      <c r="F32" s="444"/>
      <c r="G32" s="444"/>
    </row>
    <row r="33" spans="1:7" ht="40.5" customHeight="1">
      <c r="A33" s="6" t="s">
        <v>169</v>
      </c>
      <c r="B33" s="445" t="s">
        <v>361</v>
      </c>
      <c r="C33" s="446" t="s">
        <v>26</v>
      </c>
      <c r="D33" s="446" t="s">
        <v>26</v>
      </c>
      <c r="E33" s="446" t="s">
        <v>26</v>
      </c>
      <c r="F33" s="446" t="s">
        <v>26</v>
      </c>
      <c r="G33" s="447" t="s">
        <v>26</v>
      </c>
    </row>
    <row r="34" spans="1:7" ht="32.25" customHeight="1" hidden="1">
      <c r="A34" s="68" t="s">
        <v>170</v>
      </c>
      <c r="B34" s="445" t="s">
        <v>362</v>
      </c>
      <c r="C34" s="446" t="s">
        <v>26</v>
      </c>
      <c r="D34" s="446" t="s">
        <v>26</v>
      </c>
      <c r="E34" s="446" t="s">
        <v>26</v>
      </c>
      <c r="F34" s="446" t="s">
        <v>26</v>
      </c>
      <c r="G34" s="447" t="s">
        <v>26</v>
      </c>
    </row>
    <row r="35" spans="1:7" ht="18.75" customHeight="1" hidden="1">
      <c r="A35" s="68">
        <v>2</v>
      </c>
      <c r="B35" s="445" t="s">
        <v>631</v>
      </c>
      <c r="C35" s="446" t="s">
        <v>26</v>
      </c>
      <c r="D35" s="446" t="s">
        <v>26</v>
      </c>
      <c r="E35" s="446" t="s">
        <v>26</v>
      </c>
      <c r="F35" s="446" t="s">
        <v>26</v>
      </c>
      <c r="G35" s="447" t="s">
        <v>26</v>
      </c>
    </row>
    <row r="36" spans="1:7" ht="32.25" customHeight="1" hidden="1">
      <c r="A36" s="68">
        <v>3</v>
      </c>
      <c r="B36" s="445" t="s">
        <v>632</v>
      </c>
      <c r="C36" s="446" t="s">
        <v>26</v>
      </c>
      <c r="D36" s="446" t="s">
        <v>26</v>
      </c>
      <c r="E36" s="446" t="s">
        <v>26</v>
      </c>
      <c r="F36" s="446" t="s">
        <v>26</v>
      </c>
      <c r="G36" s="447" t="s">
        <v>26</v>
      </c>
    </row>
    <row r="37" spans="1:7" ht="15.75" customHeight="1">
      <c r="A37" s="48"/>
      <c r="B37" s="49"/>
      <c r="C37" s="49"/>
      <c r="D37" s="49"/>
      <c r="E37" s="49"/>
      <c r="F37" s="49"/>
      <c r="G37" s="49"/>
    </row>
    <row r="38" spans="1:7" ht="15.75" customHeight="1">
      <c r="A38" s="508" t="s">
        <v>22</v>
      </c>
      <c r="B38" s="509" t="s">
        <v>16</v>
      </c>
      <c r="C38" s="509"/>
      <c r="D38" s="509"/>
      <c r="E38" s="509"/>
      <c r="F38" s="509"/>
      <c r="G38" s="509"/>
    </row>
    <row r="39" spans="1:2" ht="15.75">
      <c r="A39" s="508"/>
      <c r="B39" s="1" t="s">
        <v>17</v>
      </c>
    </row>
    <row r="40" ht="15.75">
      <c r="A40" s="3"/>
    </row>
    <row r="41" spans="1:5" ht="31.5">
      <c r="A41" s="6" t="s">
        <v>13</v>
      </c>
      <c r="B41" s="6" t="s">
        <v>18</v>
      </c>
      <c r="C41" s="6" t="s">
        <v>19</v>
      </c>
      <c r="D41" s="6" t="s">
        <v>20</v>
      </c>
      <c r="E41" s="6" t="s">
        <v>21</v>
      </c>
    </row>
    <row r="42" spans="1:5" ht="15.75">
      <c r="A42" s="6">
        <v>1</v>
      </c>
      <c r="B42" s="6">
        <v>2</v>
      </c>
      <c r="C42" s="6">
        <v>3</v>
      </c>
      <c r="D42" s="6">
        <v>4</v>
      </c>
      <c r="E42" s="6">
        <v>6</v>
      </c>
    </row>
    <row r="43" spans="1:5" ht="105">
      <c r="A43" s="6" t="s">
        <v>169</v>
      </c>
      <c r="B43" s="12" t="s">
        <v>363</v>
      </c>
      <c r="C43" s="13">
        <f>130000-57100</f>
        <v>72900</v>
      </c>
      <c r="D43" s="13">
        <v>0</v>
      </c>
      <c r="E43" s="13">
        <f>C43+D43</f>
        <v>72900</v>
      </c>
    </row>
    <row r="44" spans="1:5" ht="87" customHeight="1" hidden="1">
      <c r="A44" s="6" t="s">
        <v>170</v>
      </c>
      <c r="B44" s="12" t="s">
        <v>364</v>
      </c>
      <c r="C44" s="13">
        <f>259000-178054-80946</f>
        <v>0</v>
      </c>
      <c r="D44" s="13">
        <v>0</v>
      </c>
      <c r="E44" s="13">
        <f>C44+D44</f>
        <v>0</v>
      </c>
    </row>
    <row r="45" spans="1:5" ht="15.75">
      <c r="A45" s="434" t="s">
        <v>21</v>
      </c>
      <c r="B45" s="434"/>
      <c r="C45" s="14">
        <f>SUM(C43:C44)</f>
        <v>72900</v>
      </c>
      <c r="D45" s="14">
        <f>SUM(D43:D44)</f>
        <v>0</v>
      </c>
      <c r="E45" s="14">
        <f>SUM(E43:E44)</f>
        <v>72900</v>
      </c>
    </row>
    <row r="46" ht="15.75">
      <c r="A46" s="3"/>
    </row>
    <row r="47" ht="15.75">
      <c r="A47" s="3"/>
    </row>
    <row r="48" spans="1:7" ht="15.75">
      <c r="A48" s="435" t="s">
        <v>194</v>
      </c>
      <c r="B48" s="436" t="s">
        <v>23</v>
      </c>
      <c r="C48" s="436"/>
      <c r="D48" s="436"/>
      <c r="E48" s="436"/>
      <c r="F48" s="436"/>
      <c r="G48" s="436"/>
    </row>
    <row r="49" spans="1:2" ht="15.75">
      <c r="A49" s="435"/>
      <c r="B49" s="1" t="s">
        <v>17</v>
      </c>
    </row>
    <row r="50" ht="15.75">
      <c r="A50" s="3"/>
    </row>
    <row r="51" spans="2:5" ht="31.5">
      <c r="B51" s="6" t="s">
        <v>193</v>
      </c>
      <c r="C51" s="6" t="s">
        <v>19</v>
      </c>
      <c r="D51" s="6" t="s">
        <v>20</v>
      </c>
      <c r="E51" s="6" t="s">
        <v>21</v>
      </c>
    </row>
    <row r="52" spans="2:5" ht="15.75">
      <c r="B52" s="6">
        <v>1</v>
      </c>
      <c r="C52" s="6">
        <v>2</v>
      </c>
      <c r="D52" s="6">
        <v>3</v>
      </c>
      <c r="E52" s="6">
        <v>4</v>
      </c>
    </row>
    <row r="53" spans="2:5" ht="105">
      <c r="B53" s="146" t="s">
        <v>475</v>
      </c>
      <c r="C53" s="24">
        <f>E18</f>
        <v>72900</v>
      </c>
      <c r="D53" s="24">
        <v>0</v>
      </c>
      <c r="E53" s="24">
        <f>C53</f>
        <v>72900</v>
      </c>
    </row>
    <row r="54" spans="2:5" ht="15.75">
      <c r="B54" s="17" t="s">
        <v>21</v>
      </c>
      <c r="C54" s="25">
        <f>C53</f>
        <v>72900</v>
      </c>
      <c r="D54" s="25">
        <f>D53</f>
        <v>0</v>
      </c>
      <c r="E54" s="25">
        <f>E53</f>
        <v>72900</v>
      </c>
    </row>
    <row r="55" ht="15.75">
      <c r="A55" s="3"/>
    </row>
    <row r="56" ht="15.75">
      <c r="A56" s="3"/>
    </row>
    <row r="57" spans="1:7" ht="15.75">
      <c r="A57" s="2" t="s">
        <v>47</v>
      </c>
      <c r="B57" s="436" t="s">
        <v>195</v>
      </c>
      <c r="C57" s="436"/>
      <c r="D57" s="436"/>
      <c r="E57" s="436"/>
      <c r="F57" s="436"/>
      <c r="G57" s="436"/>
    </row>
    <row r="58" ht="15.75">
      <c r="A58" s="3"/>
    </row>
    <row r="59" spans="1:7" ht="46.5" customHeight="1">
      <c r="A59" s="6" t="s">
        <v>13</v>
      </c>
      <c r="B59" s="6" t="s">
        <v>196</v>
      </c>
      <c r="C59" s="6" t="s">
        <v>197</v>
      </c>
      <c r="D59" s="6" t="s">
        <v>198</v>
      </c>
      <c r="E59" s="6" t="s">
        <v>19</v>
      </c>
      <c r="F59" s="6" t="s">
        <v>20</v>
      </c>
      <c r="G59" s="6" t="s">
        <v>21</v>
      </c>
    </row>
    <row r="60" spans="1:7" ht="15.75">
      <c r="A60" s="6">
        <v>1</v>
      </c>
      <c r="B60" s="6">
        <v>2</v>
      </c>
      <c r="C60" s="6">
        <v>3</v>
      </c>
      <c r="D60" s="6">
        <v>4</v>
      </c>
      <c r="E60" s="6">
        <v>5</v>
      </c>
      <c r="F60" s="6">
        <v>6</v>
      </c>
      <c r="G60" s="6">
        <v>7</v>
      </c>
    </row>
    <row r="61" spans="1:7" ht="33.75" customHeight="1">
      <c r="A61" s="6" t="s">
        <v>169</v>
      </c>
      <c r="B61" s="490" t="s">
        <v>361</v>
      </c>
      <c r="C61" s="491"/>
      <c r="D61" s="491"/>
      <c r="E61" s="491"/>
      <c r="F61" s="491"/>
      <c r="G61" s="492"/>
    </row>
    <row r="62" spans="1:7" ht="18.75" customHeight="1">
      <c r="A62" s="6"/>
      <c r="B62" s="165" t="s">
        <v>199</v>
      </c>
      <c r="C62" s="6"/>
      <c r="D62" s="6"/>
      <c r="E62" s="28"/>
      <c r="F62" s="47"/>
      <c r="G62" s="130"/>
    </row>
    <row r="63" spans="1:8" ht="15.75">
      <c r="A63" s="6"/>
      <c r="B63" s="146" t="s">
        <v>48</v>
      </c>
      <c r="C63" s="169" t="s">
        <v>79</v>
      </c>
      <c r="D63" s="158" t="s">
        <v>61</v>
      </c>
      <c r="E63" s="22">
        <f>130000-57100</f>
        <v>72900</v>
      </c>
      <c r="F63" s="6" t="s">
        <v>109</v>
      </c>
      <c r="G63" s="22">
        <f>E63</f>
        <v>72900</v>
      </c>
      <c r="H63" s="89"/>
    </row>
    <row r="64" spans="1:7" ht="16.5" customHeight="1">
      <c r="A64" s="6"/>
      <c r="B64" s="165" t="s">
        <v>200</v>
      </c>
      <c r="C64" s="169"/>
      <c r="D64" s="158"/>
      <c r="E64" s="29"/>
      <c r="F64" s="80"/>
      <c r="G64" s="22"/>
    </row>
    <row r="65" spans="1:7" ht="17.25" customHeight="1">
      <c r="A65" s="6"/>
      <c r="B65" s="146" t="s">
        <v>365</v>
      </c>
      <c r="C65" s="169" t="s">
        <v>66</v>
      </c>
      <c r="D65" s="158" t="s">
        <v>367</v>
      </c>
      <c r="E65" s="29">
        <v>1</v>
      </c>
      <c r="F65" s="41" t="s">
        <v>109</v>
      </c>
      <c r="G65" s="22">
        <f>E65</f>
        <v>1</v>
      </c>
    </row>
    <row r="66" spans="1:8" ht="16.5" customHeight="1">
      <c r="A66" s="6"/>
      <c r="B66" s="165" t="s">
        <v>201</v>
      </c>
      <c r="C66" s="169"/>
      <c r="D66" s="158"/>
      <c r="E66" s="115"/>
      <c r="F66" s="39"/>
      <c r="G66" s="87"/>
      <c r="H66" s="89"/>
    </row>
    <row r="67" spans="1:7" ht="18" customHeight="1">
      <c r="A67" s="6"/>
      <c r="B67" s="146" t="s">
        <v>366</v>
      </c>
      <c r="C67" s="169" t="s">
        <v>79</v>
      </c>
      <c r="D67" s="158" t="s">
        <v>70</v>
      </c>
      <c r="E67" s="84">
        <f>E63/E65</f>
        <v>72900</v>
      </c>
      <c r="F67" s="39" t="s">
        <v>109</v>
      </c>
      <c r="G67" s="22">
        <f>E67</f>
        <v>72900</v>
      </c>
    </row>
    <row r="68" spans="1:7" ht="18.75" customHeight="1">
      <c r="A68" s="6"/>
      <c r="B68" s="165" t="s">
        <v>202</v>
      </c>
      <c r="C68" s="169"/>
      <c r="D68" s="158"/>
      <c r="E68" s="84"/>
      <c r="F68" s="39"/>
      <c r="G68" s="22"/>
    </row>
    <row r="69" spans="1:7" ht="53.25" customHeight="1">
      <c r="A69" s="6"/>
      <c r="B69" s="146" t="s">
        <v>179</v>
      </c>
      <c r="C69" s="169" t="s">
        <v>71</v>
      </c>
      <c r="D69" s="158" t="s">
        <v>70</v>
      </c>
      <c r="E69" s="84">
        <v>100</v>
      </c>
      <c r="F69" s="39" t="s">
        <v>109</v>
      </c>
      <c r="G69" s="22">
        <f>E69</f>
        <v>100</v>
      </c>
    </row>
    <row r="70" spans="1:7" ht="35.25" customHeight="1" hidden="1">
      <c r="A70" s="157" t="s">
        <v>170</v>
      </c>
      <c r="B70" s="535" t="s">
        <v>368</v>
      </c>
      <c r="C70" s="536"/>
      <c r="D70" s="536"/>
      <c r="E70" s="536"/>
      <c r="F70" s="536"/>
      <c r="G70" s="537"/>
    </row>
    <row r="71" spans="1:7" ht="15.75" customHeight="1" hidden="1">
      <c r="A71" s="6"/>
      <c r="B71" s="165" t="s">
        <v>199</v>
      </c>
      <c r="C71" s="167"/>
      <c r="D71" s="158"/>
      <c r="E71" s="28"/>
      <c r="F71" s="47"/>
      <c r="G71" s="45"/>
    </row>
    <row r="72" spans="1:7" ht="18" customHeight="1" hidden="1">
      <c r="A72" s="6"/>
      <c r="B72" s="146" t="s">
        <v>48</v>
      </c>
      <c r="C72" s="169" t="s">
        <v>79</v>
      </c>
      <c r="D72" s="158" t="s">
        <v>61</v>
      </c>
      <c r="E72" s="22">
        <f>259000-178054</f>
        <v>80946</v>
      </c>
      <c r="F72" s="6" t="s">
        <v>109</v>
      </c>
      <c r="G72" s="22">
        <f>E72</f>
        <v>80946</v>
      </c>
    </row>
    <row r="73" spans="1:7" ht="15.75" customHeight="1" hidden="1">
      <c r="A73" s="6"/>
      <c r="B73" s="165" t="s">
        <v>200</v>
      </c>
      <c r="C73" s="169"/>
      <c r="D73" s="158"/>
      <c r="E73" s="29"/>
      <c r="F73" s="80"/>
      <c r="G73" s="22"/>
    </row>
    <row r="74" spans="1:7" ht="18.75" customHeight="1" hidden="1">
      <c r="A74" s="6"/>
      <c r="B74" s="146" t="s">
        <v>365</v>
      </c>
      <c r="C74" s="169" t="s">
        <v>66</v>
      </c>
      <c r="D74" s="158" t="s">
        <v>367</v>
      </c>
      <c r="E74" s="29">
        <v>1</v>
      </c>
      <c r="F74" s="41" t="s">
        <v>109</v>
      </c>
      <c r="G74" s="22">
        <f>E74</f>
        <v>1</v>
      </c>
    </row>
    <row r="75" spans="1:7" ht="15.75" customHeight="1" hidden="1">
      <c r="A75" s="6"/>
      <c r="B75" s="165" t="s">
        <v>201</v>
      </c>
      <c r="C75" s="169"/>
      <c r="D75" s="158"/>
      <c r="E75" s="29"/>
      <c r="F75" s="39"/>
      <c r="G75" s="22"/>
    </row>
    <row r="76" spans="1:7" ht="18" customHeight="1" hidden="1">
      <c r="A76" s="6"/>
      <c r="B76" s="146" t="s">
        <v>366</v>
      </c>
      <c r="C76" s="169" t="s">
        <v>79</v>
      </c>
      <c r="D76" s="158" t="s">
        <v>70</v>
      </c>
      <c r="E76" s="22">
        <f>E72/E74</f>
        <v>80946</v>
      </c>
      <c r="F76" s="39" t="s">
        <v>109</v>
      </c>
      <c r="G76" s="22">
        <f>E76</f>
        <v>80946</v>
      </c>
    </row>
    <row r="77" spans="1:7" ht="15.75" customHeight="1" hidden="1">
      <c r="A77" s="6"/>
      <c r="B77" s="165" t="s">
        <v>202</v>
      </c>
      <c r="C77" s="169"/>
      <c r="D77" s="158"/>
      <c r="E77" s="29"/>
      <c r="F77" s="39"/>
      <c r="G77" s="22"/>
    </row>
    <row r="78" spans="1:7" ht="53.25" customHeight="1" hidden="1">
      <c r="A78" s="6"/>
      <c r="B78" s="146" t="s">
        <v>179</v>
      </c>
      <c r="C78" s="169" t="s">
        <v>71</v>
      </c>
      <c r="D78" s="158" t="s">
        <v>70</v>
      </c>
      <c r="E78" s="103">
        <f>(E72/500000)*100</f>
        <v>16.1892</v>
      </c>
      <c r="F78" s="39" t="s">
        <v>109</v>
      </c>
      <c r="G78" s="22">
        <f>E78</f>
        <v>16.1892</v>
      </c>
    </row>
    <row r="79" spans="1:7" ht="16.5" customHeight="1">
      <c r="A79" s="16"/>
      <c r="B79" s="178"/>
      <c r="C79" s="179"/>
      <c r="D79" s="180"/>
      <c r="E79" s="181"/>
      <c r="F79" s="145"/>
      <c r="G79" s="26"/>
    </row>
    <row r="80" spans="1:7" ht="15.75" customHeight="1">
      <c r="A80" s="3" t="s">
        <v>73</v>
      </c>
      <c r="B80" s="3"/>
      <c r="C80" s="3"/>
      <c r="D80" s="8"/>
      <c r="E80" s="75"/>
      <c r="F80" s="430" t="s">
        <v>74</v>
      </c>
      <c r="G80" s="430"/>
    </row>
    <row r="81" spans="1:7" ht="15">
      <c r="A81" s="85"/>
      <c r="B81" s="85"/>
      <c r="C81" s="85"/>
      <c r="D81" s="5" t="s">
        <v>203</v>
      </c>
      <c r="E81" s="86"/>
      <c r="F81" s="472" t="s">
        <v>75</v>
      </c>
      <c r="G81" s="473"/>
    </row>
    <row r="82" spans="1:7" ht="15.75">
      <c r="A82" s="474"/>
      <c r="B82" s="474"/>
      <c r="C82" s="85"/>
      <c r="D82" s="2"/>
      <c r="E82" s="85"/>
      <c r="F82" s="85"/>
      <c r="G82" s="85"/>
    </row>
    <row r="83" spans="1:7" ht="15.75">
      <c r="A83" s="433" t="s">
        <v>204</v>
      </c>
      <c r="B83" s="433"/>
      <c r="C83" s="85"/>
      <c r="E83" s="85"/>
      <c r="F83" s="85"/>
      <c r="G83" s="85"/>
    </row>
    <row r="84" spans="1:7" ht="15.75" customHeight="1">
      <c r="A84" s="3" t="s">
        <v>281</v>
      </c>
      <c r="B84" s="3"/>
      <c r="C84" s="3"/>
      <c r="D84" s="8"/>
      <c r="E84" s="75"/>
      <c r="F84" s="430" t="s">
        <v>76</v>
      </c>
      <c r="G84" s="430"/>
    </row>
    <row r="85" spans="1:7" ht="15.75">
      <c r="A85" s="3" t="s">
        <v>286</v>
      </c>
      <c r="B85" s="3"/>
      <c r="C85" s="85"/>
      <c r="D85" s="5" t="s">
        <v>203</v>
      </c>
      <c r="E85" s="5"/>
      <c r="F85" s="431" t="s">
        <v>75</v>
      </c>
      <c r="G85" s="432"/>
    </row>
    <row r="86" spans="1:7" ht="15.75">
      <c r="A86" s="3"/>
      <c r="B86" s="3"/>
      <c r="C86" s="85"/>
      <c r="D86" s="5"/>
      <c r="E86" s="5"/>
      <c r="F86" s="97"/>
      <c r="G86" s="408"/>
    </row>
    <row r="87" spans="1:7" ht="15.75">
      <c r="A87" s="3"/>
      <c r="B87" s="3"/>
      <c r="C87" s="85"/>
      <c r="D87" s="5"/>
      <c r="E87" s="5"/>
      <c r="F87" s="97"/>
      <c r="G87" s="408"/>
    </row>
    <row r="88" spans="1:7" ht="15.75">
      <c r="A88" s="1"/>
      <c r="B88" s="92" t="s">
        <v>162</v>
      </c>
      <c r="C88" s="2"/>
      <c r="F88" s="475"/>
      <c r="G88" s="475"/>
    </row>
    <row r="89" ht="15">
      <c r="B89" s="23" t="s">
        <v>163</v>
      </c>
    </row>
  </sheetData>
  <sheetProtection/>
  <mergeCells count="45">
    <mergeCell ref="A82:B82"/>
    <mergeCell ref="A83:B83"/>
    <mergeCell ref="F84:G84"/>
    <mergeCell ref="F85:G85"/>
    <mergeCell ref="F88:G88"/>
    <mergeCell ref="B61:G61"/>
    <mergeCell ref="B70:G70"/>
    <mergeCell ref="F80:G80"/>
    <mergeCell ref="F81:G81"/>
    <mergeCell ref="A38:A39"/>
    <mergeCell ref="B38:G38"/>
    <mergeCell ref="A45:B45"/>
    <mergeCell ref="A48:A49"/>
    <mergeCell ref="B48:G48"/>
    <mergeCell ref="B57:G57"/>
    <mergeCell ref="B30:D30"/>
    <mergeCell ref="B32:G32"/>
    <mergeCell ref="B33:G33"/>
    <mergeCell ref="B34:G34"/>
    <mergeCell ref="B35:G35"/>
    <mergeCell ref="B36:G36"/>
    <mergeCell ref="B24:G24"/>
    <mergeCell ref="B25:G25"/>
    <mergeCell ref="B26:G26"/>
    <mergeCell ref="B27:G27"/>
    <mergeCell ref="B28:G28"/>
    <mergeCell ref="B29:G29"/>
    <mergeCell ref="E17:F17"/>
    <mergeCell ref="B19:G19"/>
    <mergeCell ref="B20:G20"/>
    <mergeCell ref="B21:G21"/>
    <mergeCell ref="B22:G22"/>
    <mergeCell ref="B23:G23"/>
    <mergeCell ref="A10:G10"/>
    <mergeCell ref="D12:F12"/>
    <mergeCell ref="D13:E13"/>
    <mergeCell ref="D14:F14"/>
    <mergeCell ref="D15:E15"/>
    <mergeCell ref="E16:F16"/>
    <mergeCell ref="E1:G1"/>
    <mergeCell ref="E4:G4"/>
    <mergeCell ref="E5:G5"/>
    <mergeCell ref="E6:G6"/>
    <mergeCell ref="E7:G7"/>
    <mergeCell ref="A9:G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81"/>
  <sheetViews>
    <sheetView zoomScalePageLayoutView="0" workbookViewId="0" topLeftCell="A13">
      <selection activeCell="A50" sqref="A50:IV50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16384" width="21.57421875" style="4" customWidth="1"/>
  </cols>
  <sheetData>
    <row r="1" spans="5:7" ht="77.25" customHeight="1">
      <c r="E1" s="466" t="s">
        <v>558</v>
      </c>
      <c r="F1" s="467"/>
      <c r="G1" s="467"/>
    </row>
    <row r="2" spans="1:5" ht="15.75">
      <c r="A2" s="1"/>
      <c r="E2" s="1"/>
    </row>
    <row r="3" spans="1:5" ht="15.75">
      <c r="A3" s="1"/>
      <c r="E3" s="1" t="s">
        <v>166</v>
      </c>
    </row>
    <row r="4" spans="1:7" ht="15.75" customHeight="1">
      <c r="A4" s="1"/>
      <c r="E4" s="468" t="s">
        <v>89</v>
      </c>
      <c r="F4" s="468"/>
      <c r="G4" s="468"/>
    </row>
    <row r="5" spans="1:7" ht="15.75">
      <c r="A5" s="1"/>
      <c r="B5" s="1"/>
      <c r="E5" s="485" t="s">
        <v>207</v>
      </c>
      <c r="F5" s="485"/>
      <c r="G5" s="485"/>
    </row>
    <row r="6" spans="1:7" ht="15" customHeight="1">
      <c r="A6" s="1"/>
      <c r="E6" s="486" t="s">
        <v>167</v>
      </c>
      <c r="F6" s="486"/>
      <c r="G6" s="486"/>
    </row>
    <row r="7" spans="5:7" ht="15">
      <c r="E7" s="443" t="s">
        <v>94</v>
      </c>
      <c r="F7" s="471"/>
      <c r="G7" s="471"/>
    </row>
    <row r="9" spans="1:7" ht="15.75">
      <c r="A9" s="455" t="s">
        <v>168</v>
      </c>
      <c r="B9" s="455"/>
      <c r="C9" s="455"/>
      <c r="D9" s="455"/>
      <c r="E9" s="455"/>
      <c r="F9" s="455"/>
      <c r="G9" s="455"/>
    </row>
    <row r="10" spans="1:7" ht="15.75">
      <c r="A10" s="455" t="s">
        <v>315</v>
      </c>
      <c r="B10" s="455"/>
      <c r="C10" s="455"/>
      <c r="D10" s="455"/>
      <c r="E10" s="455"/>
      <c r="F10" s="455"/>
      <c r="G10" s="455"/>
    </row>
    <row r="11" spans="1:7" ht="15.75">
      <c r="A11" s="156"/>
      <c r="B11" s="156"/>
      <c r="C11" s="156"/>
      <c r="D11" s="156"/>
      <c r="E11" s="156"/>
      <c r="F11" s="156"/>
      <c r="G11" s="156"/>
    </row>
    <row r="12" spans="1:8" ht="15" customHeight="1">
      <c r="A12" s="214" t="s">
        <v>304</v>
      </c>
      <c r="B12" s="405" t="s">
        <v>478</v>
      </c>
      <c r="C12" s="210"/>
      <c r="D12" s="456" t="s">
        <v>207</v>
      </c>
      <c r="E12" s="457"/>
      <c r="F12" s="458"/>
      <c r="G12" s="190">
        <v>38068238</v>
      </c>
      <c r="H12" s="166"/>
    </row>
    <row r="13" spans="2:8" ht="31.5" customHeight="1">
      <c r="B13" s="407" t="s">
        <v>308</v>
      </c>
      <c r="C13" s="196"/>
      <c r="D13" s="459" t="s">
        <v>167</v>
      </c>
      <c r="E13" s="459"/>
      <c r="F13" s="212"/>
      <c r="G13" s="192" t="s">
        <v>305</v>
      </c>
      <c r="H13" s="166"/>
    </row>
    <row r="14" spans="1:8" ht="15" customHeight="1">
      <c r="A14" s="213" t="s">
        <v>306</v>
      </c>
      <c r="B14" s="405" t="s">
        <v>479</v>
      </c>
      <c r="C14" s="211"/>
      <c r="D14" s="460" t="s">
        <v>207</v>
      </c>
      <c r="E14" s="461"/>
      <c r="F14" s="462"/>
      <c r="G14" s="193">
        <v>38068238</v>
      </c>
      <c r="H14" s="166"/>
    </row>
    <row r="15" spans="1:8" ht="39.75" customHeight="1">
      <c r="A15" s="213"/>
      <c r="B15" s="407" t="s">
        <v>308</v>
      </c>
      <c r="C15" s="196"/>
      <c r="D15" s="463" t="s">
        <v>205</v>
      </c>
      <c r="E15" s="463"/>
      <c r="F15" s="212"/>
      <c r="G15" s="192" t="s">
        <v>305</v>
      </c>
      <c r="H15" s="166"/>
    </row>
    <row r="16" spans="1:8" ht="36" customHeight="1">
      <c r="A16" s="194" t="s">
        <v>307</v>
      </c>
      <c r="B16" s="405" t="s">
        <v>369</v>
      </c>
      <c r="C16" s="405" t="s">
        <v>370</v>
      </c>
      <c r="D16" s="405" t="s">
        <v>39</v>
      </c>
      <c r="E16" s="464" t="s">
        <v>371</v>
      </c>
      <c r="F16" s="465"/>
      <c r="G16" s="405" t="s">
        <v>477</v>
      </c>
      <c r="H16" s="166"/>
    </row>
    <row r="17" spans="1:8" ht="45" customHeight="1">
      <c r="A17" s="195"/>
      <c r="B17" s="196" t="s">
        <v>308</v>
      </c>
      <c r="C17" s="407" t="s">
        <v>309</v>
      </c>
      <c r="D17" s="191" t="s">
        <v>310</v>
      </c>
      <c r="E17" s="454" t="s">
        <v>311</v>
      </c>
      <c r="F17" s="454"/>
      <c r="G17" s="407" t="s">
        <v>312</v>
      </c>
      <c r="H17" s="166"/>
    </row>
    <row r="18" spans="1:8" ht="51" customHeight="1">
      <c r="A18" s="197" t="s">
        <v>172</v>
      </c>
      <c r="B18" s="406" t="s">
        <v>210</v>
      </c>
      <c r="C18" s="198">
        <f>E18+G18</f>
        <v>40375</v>
      </c>
      <c r="D18" s="406" t="s">
        <v>43</v>
      </c>
      <c r="E18" s="198">
        <f>1027545-327868-470434-185293-3575</f>
        <v>40375</v>
      </c>
      <c r="F18" s="406" t="s">
        <v>44</v>
      </c>
      <c r="G18" s="198">
        <v>0</v>
      </c>
      <c r="H18" s="166"/>
    </row>
    <row r="19" spans="1:7" ht="15.75">
      <c r="A19" s="2" t="s">
        <v>9</v>
      </c>
      <c r="B19" s="436" t="s">
        <v>209</v>
      </c>
      <c r="C19" s="436"/>
      <c r="D19" s="436"/>
      <c r="E19" s="436"/>
      <c r="F19" s="436"/>
      <c r="G19" s="436"/>
    </row>
    <row r="20" spans="1:7" ht="21.75" customHeight="1">
      <c r="A20" s="2"/>
      <c r="B20" s="436" t="s">
        <v>211</v>
      </c>
      <c r="C20" s="436"/>
      <c r="D20" s="436"/>
      <c r="E20" s="436"/>
      <c r="F20" s="436"/>
      <c r="G20" s="436"/>
    </row>
    <row r="21" spans="1:7" ht="23.25" customHeight="1">
      <c r="A21" s="2"/>
      <c r="B21" s="436" t="s">
        <v>213</v>
      </c>
      <c r="C21" s="436"/>
      <c r="D21" s="436"/>
      <c r="E21" s="436"/>
      <c r="F21" s="436"/>
      <c r="G21" s="436"/>
    </row>
    <row r="22" spans="1:7" ht="18.75" customHeight="1">
      <c r="A22" s="2"/>
      <c r="B22" s="436" t="s">
        <v>585</v>
      </c>
      <c r="C22" s="436"/>
      <c r="D22" s="436"/>
      <c r="E22" s="436"/>
      <c r="F22" s="436"/>
      <c r="G22" s="436"/>
    </row>
    <row r="23" spans="1:7" ht="32.25" customHeight="1">
      <c r="A23" s="2"/>
      <c r="B23" s="436" t="s">
        <v>144</v>
      </c>
      <c r="C23" s="436"/>
      <c r="D23" s="436"/>
      <c r="E23" s="436"/>
      <c r="F23" s="436"/>
      <c r="G23" s="436"/>
    </row>
    <row r="24" spans="1:7" ht="30.75" customHeight="1">
      <c r="A24" s="2"/>
      <c r="B24" s="450" t="s">
        <v>586</v>
      </c>
      <c r="C24" s="450"/>
      <c r="D24" s="450"/>
      <c r="E24" s="450"/>
      <c r="F24" s="450"/>
      <c r="G24" s="450"/>
    </row>
    <row r="25" spans="1:7" ht="30.75" customHeight="1">
      <c r="A25" s="2"/>
      <c r="B25" s="450" t="s">
        <v>587</v>
      </c>
      <c r="C25" s="450"/>
      <c r="D25" s="450"/>
      <c r="E25" s="450"/>
      <c r="F25" s="450"/>
      <c r="G25" s="450"/>
    </row>
    <row r="26" spans="1:7" ht="19.5" customHeight="1">
      <c r="A26" s="2"/>
      <c r="B26" s="107"/>
      <c r="C26" s="107"/>
      <c r="D26" s="107"/>
      <c r="E26" s="107"/>
      <c r="F26" s="107"/>
      <c r="G26" s="107"/>
    </row>
    <row r="27" spans="1:7" ht="24" customHeight="1">
      <c r="A27" s="2" t="s">
        <v>10</v>
      </c>
      <c r="B27" s="436" t="s">
        <v>41</v>
      </c>
      <c r="C27" s="436"/>
      <c r="D27" s="436"/>
      <c r="E27" s="436"/>
      <c r="F27" s="436"/>
      <c r="G27" s="436"/>
    </row>
    <row r="28" spans="1:7" ht="23.25" customHeight="1">
      <c r="A28" s="6"/>
      <c r="B28" s="451" t="s">
        <v>234</v>
      </c>
      <c r="C28" s="452"/>
      <c r="D28" s="452"/>
      <c r="E28" s="452"/>
      <c r="F28" s="452"/>
      <c r="G28" s="453"/>
    </row>
    <row r="29" spans="1:7" ht="39" customHeight="1">
      <c r="A29" s="6" t="s">
        <v>169</v>
      </c>
      <c r="B29" s="502" t="s">
        <v>372</v>
      </c>
      <c r="C29" s="502"/>
      <c r="D29" s="502"/>
      <c r="E29" s="502"/>
      <c r="F29" s="502"/>
      <c r="G29" s="502"/>
    </row>
    <row r="30" spans="1:7" ht="13.5" customHeight="1">
      <c r="A30" s="16"/>
      <c r="B30" s="50"/>
      <c r="C30" s="50"/>
      <c r="D30" s="50"/>
      <c r="E30" s="50"/>
      <c r="F30" s="50"/>
      <c r="G30" s="50"/>
    </row>
    <row r="31" spans="1:7" ht="52.5" customHeight="1">
      <c r="A31" s="2" t="s">
        <v>11</v>
      </c>
      <c r="B31" s="538" t="s">
        <v>62</v>
      </c>
      <c r="C31" s="538"/>
      <c r="D31" s="538"/>
      <c r="E31" s="538"/>
      <c r="F31" s="538"/>
      <c r="G31" s="538"/>
    </row>
    <row r="32" spans="1:4" ht="16.5" customHeight="1">
      <c r="A32" s="2" t="s">
        <v>15</v>
      </c>
      <c r="B32" s="443" t="s">
        <v>12</v>
      </c>
      <c r="C32" s="443"/>
      <c r="D32" s="443"/>
    </row>
    <row r="33" spans="1:7" ht="15.75">
      <c r="A33" s="6" t="s">
        <v>13</v>
      </c>
      <c r="B33" s="444" t="s">
        <v>14</v>
      </c>
      <c r="C33" s="444"/>
      <c r="D33" s="444"/>
      <c r="E33" s="444"/>
      <c r="F33" s="444"/>
      <c r="G33" s="444"/>
    </row>
    <row r="34" spans="1:7" ht="15.75" customHeight="1">
      <c r="A34" s="6" t="s">
        <v>169</v>
      </c>
      <c r="B34" s="445" t="s">
        <v>173</v>
      </c>
      <c r="C34" s="446" t="s">
        <v>26</v>
      </c>
      <c r="D34" s="446" t="s">
        <v>26</v>
      </c>
      <c r="E34" s="446" t="s">
        <v>26</v>
      </c>
      <c r="F34" s="446" t="s">
        <v>26</v>
      </c>
      <c r="G34" s="447" t="s">
        <v>26</v>
      </c>
    </row>
    <row r="35" spans="1:7" ht="15.75" customHeight="1">
      <c r="A35" s="6" t="s">
        <v>170</v>
      </c>
      <c r="B35" s="502" t="s">
        <v>92</v>
      </c>
      <c r="C35" s="503"/>
      <c r="D35" s="503"/>
      <c r="E35" s="503"/>
      <c r="F35" s="503"/>
      <c r="G35" s="503"/>
    </row>
    <row r="36" spans="1:7" ht="15.75" customHeight="1">
      <c r="A36" s="48"/>
      <c r="B36" s="49"/>
      <c r="C36" s="49"/>
      <c r="D36" s="49"/>
      <c r="E36" s="49"/>
      <c r="F36" s="49"/>
      <c r="G36" s="49"/>
    </row>
    <row r="37" spans="1:7" ht="15.75" customHeight="1">
      <c r="A37" s="508" t="s">
        <v>22</v>
      </c>
      <c r="B37" s="509" t="s">
        <v>16</v>
      </c>
      <c r="C37" s="509"/>
      <c r="D37" s="509"/>
      <c r="E37" s="509"/>
      <c r="F37" s="509"/>
      <c r="G37" s="509"/>
    </row>
    <row r="38" spans="1:2" ht="15" customHeight="1">
      <c r="A38" s="508"/>
      <c r="B38" s="1" t="s">
        <v>17</v>
      </c>
    </row>
    <row r="39" spans="1:6" ht="31.5">
      <c r="A39" s="6" t="s">
        <v>13</v>
      </c>
      <c r="B39" s="6" t="s">
        <v>18</v>
      </c>
      <c r="C39" s="6" t="s">
        <v>19</v>
      </c>
      <c r="D39" s="6" t="s">
        <v>20</v>
      </c>
      <c r="E39" s="133" t="s">
        <v>21</v>
      </c>
      <c r="F39" s="16"/>
    </row>
    <row r="40" spans="1:6" ht="15.75">
      <c r="A40" s="6">
        <v>1</v>
      </c>
      <c r="B40" s="6">
        <v>2</v>
      </c>
      <c r="C40" s="6">
        <v>3</v>
      </c>
      <c r="D40" s="6">
        <v>4</v>
      </c>
      <c r="E40" s="133">
        <v>6</v>
      </c>
      <c r="F40" s="16"/>
    </row>
    <row r="41" spans="1:6" ht="30">
      <c r="A41" s="6" t="s">
        <v>169</v>
      </c>
      <c r="B41" s="34" t="s">
        <v>0</v>
      </c>
      <c r="C41" s="13">
        <f>27545+12830</f>
        <v>40375</v>
      </c>
      <c r="D41" s="13">
        <v>0</v>
      </c>
      <c r="E41" s="134">
        <f>C41</f>
        <v>40375</v>
      </c>
      <c r="F41" s="129"/>
    </row>
    <row r="42" spans="1:6" ht="15.75" hidden="1">
      <c r="A42" s="6" t="s">
        <v>170</v>
      </c>
      <c r="B42" s="34" t="s">
        <v>93</v>
      </c>
      <c r="C42" s="13">
        <f>1000000-327868-470434-185293-12830-3575</f>
        <v>0</v>
      </c>
      <c r="D42" s="13">
        <v>0</v>
      </c>
      <c r="E42" s="134">
        <f>C42</f>
        <v>0</v>
      </c>
      <c r="F42" s="129"/>
    </row>
    <row r="43" spans="1:6" ht="15.75">
      <c r="A43" s="434" t="s">
        <v>21</v>
      </c>
      <c r="B43" s="434"/>
      <c r="C43" s="14">
        <f>C41+C42</f>
        <v>40375</v>
      </c>
      <c r="D43" s="14">
        <f>D41</f>
        <v>0</v>
      </c>
      <c r="E43" s="132">
        <f>C43</f>
        <v>40375</v>
      </c>
      <c r="F43" s="131"/>
    </row>
    <row r="44" ht="15.75">
      <c r="A44" s="3"/>
    </row>
    <row r="45" spans="1:7" ht="15.75">
      <c r="A45" s="435" t="s">
        <v>194</v>
      </c>
      <c r="B45" s="436" t="s">
        <v>23</v>
      </c>
      <c r="C45" s="436"/>
      <c r="D45" s="436"/>
      <c r="E45" s="436"/>
      <c r="F45" s="436"/>
      <c r="G45" s="436"/>
    </row>
    <row r="46" spans="1:2" ht="15.75">
      <c r="A46" s="435"/>
      <c r="B46" s="1" t="s">
        <v>17</v>
      </c>
    </row>
    <row r="47" spans="2:5" ht="31.5">
      <c r="B47" s="6" t="s">
        <v>193</v>
      </c>
      <c r="C47" s="6" t="s">
        <v>19</v>
      </c>
      <c r="D47" s="6" t="s">
        <v>20</v>
      </c>
      <c r="E47" s="6" t="s">
        <v>21</v>
      </c>
    </row>
    <row r="48" spans="2:5" ht="15.75">
      <c r="B48" s="6">
        <v>1</v>
      </c>
      <c r="C48" s="6">
        <v>2</v>
      </c>
      <c r="D48" s="6">
        <v>3</v>
      </c>
      <c r="E48" s="6">
        <v>4</v>
      </c>
    </row>
    <row r="49" spans="2:5" ht="90">
      <c r="B49" s="31" t="s">
        <v>472</v>
      </c>
      <c r="C49" s="77">
        <f>C41</f>
        <v>40375</v>
      </c>
      <c r="D49" s="24">
        <v>0</v>
      </c>
      <c r="E49" s="24">
        <f>C49</f>
        <v>40375</v>
      </c>
    </row>
    <row r="50" spans="2:5" ht="45" hidden="1">
      <c r="B50" s="31" t="s">
        <v>373</v>
      </c>
      <c r="C50" s="77">
        <f>C42</f>
        <v>0</v>
      </c>
      <c r="D50" s="24"/>
      <c r="E50" s="24">
        <f>C50</f>
        <v>0</v>
      </c>
    </row>
    <row r="51" spans="2:5" ht="15.75">
      <c r="B51" s="17" t="s">
        <v>21</v>
      </c>
      <c r="C51" s="25">
        <f>C49+C50</f>
        <v>40375</v>
      </c>
      <c r="D51" s="25">
        <f>D49</f>
        <v>0</v>
      </c>
      <c r="E51" s="117">
        <f>C51</f>
        <v>40375</v>
      </c>
    </row>
    <row r="52" ht="15.75">
      <c r="A52" s="3"/>
    </row>
    <row r="53" ht="15.75">
      <c r="A53" s="3"/>
    </row>
    <row r="54" spans="1:7" ht="15.75">
      <c r="A54" s="2" t="s">
        <v>47</v>
      </c>
      <c r="B54" s="436" t="s">
        <v>195</v>
      </c>
      <c r="C54" s="436"/>
      <c r="D54" s="436"/>
      <c r="E54" s="436"/>
      <c r="F54" s="436"/>
      <c r="G54" s="436"/>
    </row>
    <row r="55" ht="15.75">
      <c r="A55" s="3"/>
    </row>
    <row r="56" spans="1:7" ht="46.5" customHeight="1">
      <c r="A56" s="6" t="s">
        <v>13</v>
      </c>
      <c r="B56" s="6" t="s">
        <v>196</v>
      </c>
      <c r="C56" s="6" t="s">
        <v>197</v>
      </c>
      <c r="D56" s="6" t="s">
        <v>198</v>
      </c>
      <c r="E56" s="6" t="s">
        <v>19</v>
      </c>
      <c r="F56" s="6" t="s">
        <v>20</v>
      </c>
      <c r="G56" s="6" t="s">
        <v>21</v>
      </c>
    </row>
    <row r="57" spans="1:7" ht="15.75">
      <c r="A57" s="6">
        <v>1</v>
      </c>
      <c r="B57" s="6">
        <v>2</v>
      </c>
      <c r="C57" s="6">
        <v>3</v>
      </c>
      <c r="D57" s="6">
        <v>4</v>
      </c>
      <c r="E57" s="6">
        <v>5</v>
      </c>
      <c r="F57" s="6">
        <v>6</v>
      </c>
      <c r="G57" s="6">
        <v>7</v>
      </c>
    </row>
    <row r="58" spans="1:7" ht="15.75">
      <c r="A58" s="6"/>
      <c r="B58" s="263"/>
      <c r="C58" s="185"/>
      <c r="D58" s="185"/>
      <c r="E58" s="185"/>
      <c r="F58" s="185"/>
      <c r="G58" s="264"/>
    </row>
    <row r="59" spans="1:7" ht="15.75">
      <c r="A59" s="6"/>
      <c r="B59" s="437" t="s">
        <v>173</v>
      </c>
      <c r="C59" s="438"/>
      <c r="D59" s="438"/>
      <c r="E59" s="438"/>
      <c r="F59" s="438"/>
      <c r="G59" s="439"/>
    </row>
    <row r="60" spans="1:7" ht="18.75" customHeight="1">
      <c r="A60" s="6">
        <v>1</v>
      </c>
      <c r="B60" s="33" t="s">
        <v>174</v>
      </c>
      <c r="C60" s="35"/>
      <c r="D60" s="35"/>
      <c r="E60" s="28"/>
      <c r="F60" s="47"/>
      <c r="G60" s="45"/>
    </row>
    <row r="61" spans="1:7" ht="15.75">
      <c r="A61" s="6"/>
      <c r="B61" s="34" t="s">
        <v>48</v>
      </c>
      <c r="C61" s="35" t="s">
        <v>79</v>
      </c>
      <c r="D61" s="35" t="s">
        <v>61</v>
      </c>
      <c r="E61" s="13">
        <f>C41</f>
        <v>40375</v>
      </c>
      <c r="F61" s="6" t="s">
        <v>109</v>
      </c>
      <c r="G61" s="22">
        <f>E61</f>
        <v>40375</v>
      </c>
    </row>
    <row r="62" spans="1:7" ht="16.5" customHeight="1">
      <c r="A62" s="6">
        <v>2</v>
      </c>
      <c r="B62" s="33" t="s">
        <v>175</v>
      </c>
      <c r="C62" s="66"/>
      <c r="D62" s="35"/>
      <c r="E62" s="13" t="s">
        <v>28</v>
      </c>
      <c r="F62" s="80"/>
      <c r="G62" s="22" t="str">
        <f>E62</f>
        <v> </v>
      </c>
    </row>
    <row r="63" spans="1:7" ht="48.75" customHeight="1">
      <c r="A63" s="6"/>
      <c r="B63" s="31" t="s">
        <v>374</v>
      </c>
      <c r="C63" s="35" t="s">
        <v>64</v>
      </c>
      <c r="D63" s="35" t="s">
        <v>80</v>
      </c>
      <c r="E63" s="13">
        <f>E64+E65</f>
        <v>4</v>
      </c>
      <c r="F63" s="41" t="s">
        <v>109</v>
      </c>
      <c r="G63" s="151">
        <f>E63</f>
        <v>4</v>
      </c>
    </row>
    <row r="64" spans="1:7" ht="18.75" customHeight="1">
      <c r="A64" s="6"/>
      <c r="B64" s="146" t="s">
        <v>375</v>
      </c>
      <c r="C64" s="158" t="s">
        <v>64</v>
      </c>
      <c r="D64" s="158" t="s">
        <v>80</v>
      </c>
      <c r="E64" s="13">
        <v>1</v>
      </c>
      <c r="F64" s="41" t="s">
        <v>109</v>
      </c>
      <c r="G64" s="151">
        <f>E64</f>
        <v>1</v>
      </c>
    </row>
    <row r="65" spans="1:7" ht="18.75" customHeight="1">
      <c r="A65" s="6"/>
      <c r="B65" s="146" t="s">
        <v>376</v>
      </c>
      <c r="C65" s="158" t="s">
        <v>64</v>
      </c>
      <c r="D65" s="158" t="s">
        <v>80</v>
      </c>
      <c r="E65" s="13">
        <v>3</v>
      </c>
      <c r="F65" s="41" t="s">
        <v>109</v>
      </c>
      <c r="G65" s="151">
        <f>E65</f>
        <v>3</v>
      </c>
    </row>
    <row r="66" spans="1:7" ht="17.25" customHeight="1">
      <c r="A66" s="6">
        <v>3</v>
      </c>
      <c r="B66" s="67" t="s">
        <v>176</v>
      </c>
      <c r="C66" s="35"/>
      <c r="D66" s="35"/>
      <c r="E66" s="13"/>
      <c r="F66" s="39"/>
      <c r="G66" s="151"/>
    </row>
    <row r="67" spans="1:7" ht="31.5" customHeight="1">
      <c r="A67" s="6"/>
      <c r="B67" s="31" t="s">
        <v>177</v>
      </c>
      <c r="C67" s="36" t="s">
        <v>79</v>
      </c>
      <c r="D67" s="66" t="s">
        <v>70</v>
      </c>
      <c r="E67" s="13">
        <f>E61/E63</f>
        <v>10093.75</v>
      </c>
      <c r="F67" s="39" t="s">
        <v>109</v>
      </c>
      <c r="G67" s="151">
        <f>E67</f>
        <v>10093.75</v>
      </c>
    </row>
    <row r="68" spans="1:7" ht="16.5" customHeight="1">
      <c r="A68" s="6">
        <v>4</v>
      </c>
      <c r="B68" s="67" t="s">
        <v>178</v>
      </c>
      <c r="C68" s="35"/>
      <c r="D68" s="35"/>
      <c r="E68" s="13"/>
      <c r="F68" s="39"/>
      <c r="G68" s="151"/>
    </row>
    <row r="69" spans="1:7" ht="48" customHeight="1">
      <c r="A69" s="6"/>
      <c r="B69" s="94" t="s">
        <v>179</v>
      </c>
      <c r="C69" s="36" t="s">
        <v>71</v>
      </c>
      <c r="D69" s="35" t="s">
        <v>70</v>
      </c>
      <c r="E69" s="6">
        <v>100</v>
      </c>
      <c r="F69" s="39" t="s">
        <v>109</v>
      </c>
      <c r="G69" s="151">
        <f>E69</f>
        <v>100</v>
      </c>
    </row>
    <row r="70" spans="1:4" ht="15.75" customHeight="1">
      <c r="A70" s="3"/>
      <c r="B70" s="58"/>
      <c r="C70" s="59"/>
      <c r="D70" s="63"/>
    </row>
    <row r="71" spans="1:4" ht="15.75">
      <c r="A71" s="3"/>
      <c r="B71" s="58"/>
      <c r="C71" s="59"/>
      <c r="D71" s="63"/>
    </row>
    <row r="72" spans="1:7" ht="15.75" customHeight="1">
      <c r="A72" s="3" t="s">
        <v>73</v>
      </c>
      <c r="B72" s="3"/>
      <c r="C72" s="3"/>
      <c r="D72" s="8"/>
      <c r="E72" s="75"/>
      <c r="F72" s="430" t="s">
        <v>248</v>
      </c>
      <c r="G72" s="430"/>
    </row>
    <row r="73" spans="1:7" ht="15">
      <c r="A73" s="85"/>
      <c r="B73" s="85"/>
      <c r="C73" s="85"/>
      <c r="D73" s="5" t="s">
        <v>203</v>
      </c>
      <c r="E73" s="86"/>
      <c r="F73" s="472" t="s">
        <v>75</v>
      </c>
      <c r="G73" s="473"/>
    </row>
    <row r="74" spans="1:7" ht="15.75">
      <c r="A74" s="474"/>
      <c r="B74" s="474"/>
      <c r="C74" s="85"/>
      <c r="D74" s="2"/>
      <c r="E74" s="85"/>
      <c r="F74" s="85"/>
      <c r="G74" s="85"/>
    </row>
    <row r="75" spans="1:7" ht="15.75">
      <c r="A75" s="433" t="s">
        <v>204</v>
      </c>
      <c r="B75" s="433"/>
      <c r="C75" s="85"/>
      <c r="E75" s="85"/>
      <c r="F75" s="85"/>
      <c r="G75" s="85"/>
    </row>
    <row r="76" spans="1:7" ht="15.75" customHeight="1">
      <c r="A76" s="3" t="s">
        <v>281</v>
      </c>
      <c r="B76" s="3"/>
      <c r="C76" s="3"/>
      <c r="D76" s="8"/>
      <c r="E76" s="75"/>
      <c r="F76" s="430" t="s">
        <v>247</v>
      </c>
      <c r="G76" s="430"/>
    </row>
    <row r="77" spans="1:7" ht="15.75">
      <c r="A77" s="3" t="s">
        <v>286</v>
      </c>
      <c r="B77" s="3"/>
      <c r="C77" s="85"/>
      <c r="D77" s="5" t="s">
        <v>203</v>
      </c>
      <c r="E77" s="5"/>
      <c r="F77" s="431" t="s">
        <v>75</v>
      </c>
      <c r="G77" s="432"/>
    </row>
    <row r="78" spans="1:7" ht="15.75">
      <c r="A78" s="3"/>
      <c r="B78" s="3"/>
      <c r="C78" s="85"/>
      <c r="D78" s="5"/>
      <c r="E78" s="5"/>
      <c r="F78" s="97"/>
      <c r="G78" s="408"/>
    </row>
    <row r="79" spans="1:7" ht="15">
      <c r="A79" s="85"/>
      <c r="B79" s="102"/>
      <c r="C79" s="85"/>
      <c r="D79" s="5"/>
      <c r="E79" s="5"/>
      <c r="F79" s="97"/>
      <c r="G79" s="408"/>
    </row>
    <row r="80" spans="1:7" ht="15.75">
      <c r="A80" s="1"/>
      <c r="B80" s="92" t="s">
        <v>162</v>
      </c>
      <c r="C80" s="2"/>
      <c r="F80" s="475"/>
      <c r="G80" s="475"/>
    </row>
    <row r="81" ht="15">
      <c r="B81" s="23" t="s">
        <v>163</v>
      </c>
    </row>
  </sheetData>
  <sheetProtection/>
  <mergeCells count="42">
    <mergeCell ref="F73:G73"/>
    <mergeCell ref="A74:B74"/>
    <mergeCell ref="A75:B75"/>
    <mergeCell ref="F76:G76"/>
    <mergeCell ref="F77:G77"/>
    <mergeCell ref="F80:G80"/>
    <mergeCell ref="A43:B43"/>
    <mergeCell ref="A45:A46"/>
    <mergeCell ref="B45:G45"/>
    <mergeCell ref="B54:G54"/>
    <mergeCell ref="B59:G59"/>
    <mergeCell ref="F72:G72"/>
    <mergeCell ref="B32:D32"/>
    <mergeCell ref="B33:G33"/>
    <mergeCell ref="B34:G34"/>
    <mergeCell ref="B35:G35"/>
    <mergeCell ref="A37:A38"/>
    <mergeCell ref="B37:G37"/>
    <mergeCell ref="B24:G24"/>
    <mergeCell ref="B25:G25"/>
    <mergeCell ref="B27:G27"/>
    <mergeCell ref="B28:G28"/>
    <mergeCell ref="B29:G29"/>
    <mergeCell ref="B31:G31"/>
    <mergeCell ref="E17:F17"/>
    <mergeCell ref="B19:G19"/>
    <mergeCell ref="B20:G20"/>
    <mergeCell ref="B21:G21"/>
    <mergeCell ref="B22:G22"/>
    <mergeCell ref="B23:G23"/>
    <mergeCell ref="A10:G10"/>
    <mergeCell ref="D12:F12"/>
    <mergeCell ref="D13:E13"/>
    <mergeCell ref="D14:F14"/>
    <mergeCell ref="D15:E15"/>
    <mergeCell ref="E16:F16"/>
    <mergeCell ref="E1:G1"/>
    <mergeCell ref="E4:G4"/>
    <mergeCell ref="E5:G5"/>
    <mergeCell ref="E6:G6"/>
    <mergeCell ref="E7:G7"/>
    <mergeCell ref="A9:G9"/>
  </mergeCells>
  <printOptions horizontalCentered="1" verticalCentered="1"/>
  <pageMargins left="0.3937007874015748" right="0.3937007874015748" top="1.1811023622047245" bottom="0.3937007874015748" header="0.31496062992125984" footer="0.31496062992125984"/>
  <pageSetup fitToHeight="3" fitToWidth="1" horizontalDpi="600" verticalDpi="600" orientation="landscape" paperSize="9" scale="80" r:id="rId1"/>
  <rowBreaks count="1" manualBreakCount="1">
    <brk id="8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81"/>
  <sheetViews>
    <sheetView zoomScalePageLayoutView="0" workbookViewId="0" topLeftCell="A57">
      <selection activeCell="E63" sqref="E63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16384" width="21.57421875" style="4" customWidth="1"/>
  </cols>
  <sheetData>
    <row r="1" spans="5:7" ht="77.25" customHeight="1">
      <c r="E1" s="466" t="s">
        <v>558</v>
      </c>
      <c r="F1" s="467"/>
      <c r="G1" s="467"/>
    </row>
    <row r="2" spans="1:5" ht="15.75">
      <c r="A2" s="1"/>
      <c r="E2" s="1"/>
    </row>
    <row r="3" spans="1:5" ht="15.75">
      <c r="A3" s="1"/>
      <c r="E3" s="1" t="s">
        <v>166</v>
      </c>
    </row>
    <row r="4" spans="1:7" ht="15.75" customHeight="1">
      <c r="A4" s="1"/>
      <c r="E4" s="468" t="s">
        <v>89</v>
      </c>
      <c r="F4" s="468"/>
      <c r="G4" s="468"/>
    </row>
    <row r="5" spans="1:7" ht="15.75">
      <c r="A5" s="1"/>
      <c r="B5" s="1"/>
      <c r="E5" s="485" t="s">
        <v>207</v>
      </c>
      <c r="F5" s="485"/>
      <c r="G5" s="485"/>
    </row>
    <row r="6" spans="1:7" ht="15" customHeight="1">
      <c r="A6" s="1"/>
      <c r="E6" s="486" t="s">
        <v>167</v>
      </c>
      <c r="F6" s="486"/>
      <c r="G6" s="486"/>
    </row>
    <row r="7" spans="5:7" ht="15">
      <c r="E7" s="443" t="s">
        <v>94</v>
      </c>
      <c r="F7" s="471"/>
      <c r="G7" s="471"/>
    </row>
    <row r="9" spans="1:7" ht="15.75">
      <c r="A9" s="455" t="s">
        <v>168</v>
      </c>
      <c r="B9" s="455"/>
      <c r="C9" s="455"/>
      <c r="D9" s="455"/>
      <c r="E9" s="455"/>
      <c r="F9" s="455"/>
      <c r="G9" s="455"/>
    </row>
    <row r="10" spans="1:7" ht="15.75">
      <c r="A10" s="455" t="s">
        <v>315</v>
      </c>
      <c r="B10" s="455"/>
      <c r="C10" s="455"/>
      <c r="D10" s="455"/>
      <c r="E10" s="455"/>
      <c r="F10" s="455"/>
      <c r="G10" s="455"/>
    </row>
    <row r="11" spans="1:7" ht="15.75">
      <c r="A11" s="156"/>
      <c r="B11" s="156"/>
      <c r="C11" s="156"/>
      <c r="D11" s="156"/>
      <c r="E11" s="156"/>
      <c r="F11" s="156"/>
      <c r="G11" s="156"/>
    </row>
    <row r="12" spans="1:8" ht="15" customHeight="1">
      <c r="A12" s="214" t="s">
        <v>304</v>
      </c>
      <c r="B12" s="405" t="s">
        <v>478</v>
      </c>
      <c r="C12" s="210"/>
      <c r="D12" s="456" t="s">
        <v>207</v>
      </c>
      <c r="E12" s="457"/>
      <c r="F12" s="458"/>
      <c r="G12" s="190">
        <v>38068238</v>
      </c>
      <c r="H12" s="166"/>
    </row>
    <row r="13" spans="2:8" ht="31.5" customHeight="1">
      <c r="B13" s="407" t="s">
        <v>308</v>
      </c>
      <c r="C13" s="196"/>
      <c r="D13" s="459" t="s">
        <v>167</v>
      </c>
      <c r="E13" s="459"/>
      <c r="F13" s="212"/>
      <c r="G13" s="192" t="s">
        <v>305</v>
      </c>
      <c r="H13" s="166"/>
    </row>
    <row r="14" spans="1:8" ht="15" customHeight="1">
      <c r="A14" s="213" t="s">
        <v>306</v>
      </c>
      <c r="B14" s="405" t="s">
        <v>479</v>
      </c>
      <c r="C14" s="211"/>
      <c r="D14" s="460" t="s">
        <v>207</v>
      </c>
      <c r="E14" s="461"/>
      <c r="F14" s="462"/>
      <c r="G14" s="193">
        <v>38068238</v>
      </c>
      <c r="H14" s="166"/>
    </row>
    <row r="15" spans="1:8" ht="39.75" customHeight="1">
      <c r="A15" s="213"/>
      <c r="B15" s="407" t="s">
        <v>308</v>
      </c>
      <c r="C15" s="196"/>
      <c r="D15" s="463" t="s">
        <v>205</v>
      </c>
      <c r="E15" s="463"/>
      <c r="F15" s="212"/>
      <c r="G15" s="192" t="s">
        <v>305</v>
      </c>
      <c r="H15" s="166"/>
    </row>
    <row r="16" spans="1:8" ht="36" customHeight="1">
      <c r="A16" s="194" t="s">
        <v>307</v>
      </c>
      <c r="B16" s="405" t="s">
        <v>559</v>
      </c>
      <c r="C16" s="405" t="s">
        <v>560</v>
      </c>
      <c r="D16" s="405" t="s">
        <v>180</v>
      </c>
      <c r="E16" s="464" t="s">
        <v>561</v>
      </c>
      <c r="F16" s="465"/>
      <c r="G16" s="405" t="s">
        <v>477</v>
      </c>
      <c r="H16" s="166"/>
    </row>
    <row r="17" spans="1:8" ht="45" customHeight="1">
      <c r="A17" s="195"/>
      <c r="B17" s="196" t="s">
        <v>308</v>
      </c>
      <c r="C17" s="407" t="s">
        <v>309</v>
      </c>
      <c r="D17" s="191" t="s">
        <v>310</v>
      </c>
      <c r="E17" s="454" t="s">
        <v>311</v>
      </c>
      <c r="F17" s="454"/>
      <c r="G17" s="407" t="s">
        <v>312</v>
      </c>
      <c r="H17" s="166"/>
    </row>
    <row r="18" spans="1:8" ht="51" customHeight="1">
      <c r="A18" s="197" t="s">
        <v>172</v>
      </c>
      <c r="B18" s="406" t="s">
        <v>210</v>
      </c>
      <c r="C18" s="198">
        <f>E18+G18</f>
        <v>111642</v>
      </c>
      <c r="D18" s="406" t="s">
        <v>43</v>
      </c>
      <c r="E18" s="198">
        <f>592390-230000-41848-208900</f>
        <v>111642</v>
      </c>
      <c r="F18" s="406" t="s">
        <v>44</v>
      </c>
      <c r="G18" s="198">
        <v>0</v>
      </c>
      <c r="H18" s="166"/>
    </row>
    <row r="19" spans="1:7" ht="15.75">
      <c r="A19" s="2" t="s">
        <v>9</v>
      </c>
      <c r="B19" s="436" t="s">
        <v>209</v>
      </c>
      <c r="C19" s="436"/>
      <c r="D19" s="436"/>
      <c r="E19" s="436"/>
      <c r="F19" s="436"/>
      <c r="G19" s="436"/>
    </row>
    <row r="20" spans="1:7" ht="21.75" customHeight="1">
      <c r="A20" s="2"/>
      <c r="B20" s="436" t="s">
        <v>209</v>
      </c>
      <c r="C20" s="436"/>
      <c r="D20" s="436"/>
      <c r="E20" s="436"/>
      <c r="F20" s="436"/>
      <c r="G20" s="436"/>
    </row>
    <row r="21" spans="1:7" ht="23.25" customHeight="1">
      <c r="A21" s="2"/>
      <c r="B21" s="436" t="s">
        <v>211</v>
      </c>
      <c r="C21" s="436"/>
      <c r="D21" s="436"/>
      <c r="E21" s="436"/>
      <c r="F21" s="436"/>
      <c r="G21" s="436"/>
    </row>
    <row r="22" spans="1:7" ht="18.75" customHeight="1">
      <c r="A22" s="2"/>
      <c r="B22" s="436" t="s">
        <v>215</v>
      </c>
      <c r="C22" s="436"/>
      <c r="D22" s="436"/>
      <c r="E22" s="436"/>
      <c r="F22" s="436"/>
      <c r="G22" s="436"/>
    </row>
    <row r="23" spans="1:7" ht="19.5" customHeight="1">
      <c r="A23" s="2"/>
      <c r="B23" s="436" t="s">
        <v>579</v>
      </c>
      <c r="C23" s="436"/>
      <c r="D23" s="436"/>
      <c r="E23" s="436"/>
      <c r="F23" s="436"/>
      <c r="G23" s="436"/>
    </row>
    <row r="24" spans="1:7" ht="30.75" customHeight="1">
      <c r="A24" s="2"/>
      <c r="B24" s="436" t="s">
        <v>144</v>
      </c>
      <c r="C24" s="436"/>
      <c r="D24" s="436"/>
      <c r="E24" s="436"/>
      <c r="F24" s="436"/>
      <c r="G24" s="436"/>
    </row>
    <row r="25" spans="1:7" ht="17.25" customHeight="1">
      <c r="A25" s="2"/>
      <c r="B25" s="450" t="s">
        <v>481</v>
      </c>
      <c r="C25" s="450"/>
      <c r="D25" s="450"/>
      <c r="E25" s="450"/>
      <c r="F25" s="450"/>
      <c r="G25" s="450"/>
    </row>
    <row r="26" spans="1:7" ht="37.5" customHeight="1">
      <c r="A26" s="2" t="s">
        <v>10</v>
      </c>
      <c r="B26" s="450" t="s">
        <v>497</v>
      </c>
      <c r="C26" s="450"/>
      <c r="D26" s="450"/>
      <c r="E26" s="450"/>
      <c r="F26" s="450"/>
      <c r="G26" s="450"/>
    </row>
    <row r="27" spans="1:7" ht="23.25" customHeight="1">
      <c r="A27" s="6"/>
      <c r="B27" s="451" t="s">
        <v>234</v>
      </c>
      <c r="C27" s="452"/>
      <c r="D27" s="452"/>
      <c r="E27" s="452"/>
      <c r="F27" s="452"/>
      <c r="G27" s="453"/>
    </row>
    <row r="28" spans="1:7" ht="26.25" customHeight="1">
      <c r="A28" s="6" t="s">
        <v>169</v>
      </c>
      <c r="B28" s="539" t="s">
        <v>577</v>
      </c>
      <c r="C28" s="539"/>
      <c r="D28" s="539"/>
      <c r="E28" s="539"/>
      <c r="F28" s="539"/>
      <c r="G28" s="539"/>
    </row>
    <row r="29" spans="1:7" ht="26.25" customHeight="1">
      <c r="A29" s="16"/>
      <c r="B29" s="289"/>
      <c r="C29" s="289"/>
      <c r="D29" s="289"/>
      <c r="E29" s="289"/>
      <c r="F29" s="289"/>
      <c r="G29" s="289"/>
    </row>
    <row r="30" spans="1:7" ht="18" customHeight="1">
      <c r="A30" s="290" t="s">
        <v>11</v>
      </c>
      <c r="B30" s="540" t="s">
        <v>578</v>
      </c>
      <c r="C30" s="540"/>
      <c r="D30" s="540"/>
      <c r="E30" s="540"/>
      <c r="F30" s="540"/>
      <c r="G30" s="540"/>
    </row>
    <row r="31" spans="1:7" ht="18" customHeight="1">
      <c r="A31" s="291"/>
      <c r="B31" s="292"/>
      <c r="C31" s="292"/>
      <c r="D31" s="292"/>
      <c r="E31" s="292"/>
      <c r="F31" s="292"/>
      <c r="G31" s="292"/>
    </row>
    <row r="32" spans="1:4" ht="16.5" customHeight="1">
      <c r="A32" s="2" t="s">
        <v>15</v>
      </c>
      <c r="B32" s="443" t="s">
        <v>12</v>
      </c>
      <c r="C32" s="443"/>
      <c r="D32" s="443"/>
    </row>
    <row r="33" spans="1:7" ht="15.75">
      <c r="A33" s="6" t="s">
        <v>13</v>
      </c>
      <c r="B33" s="444" t="s">
        <v>14</v>
      </c>
      <c r="C33" s="444"/>
      <c r="D33" s="444"/>
      <c r="E33" s="444"/>
      <c r="F33" s="444"/>
      <c r="G33" s="444"/>
    </row>
    <row r="34" spans="1:7" ht="38.25" customHeight="1">
      <c r="A34" s="6" t="s">
        <v>169</v>
      </c>
      <c r="B34" s="445" t="s">
        <v>549</v>
      </c>
      <c r="C34" s="446"/>
      <c r="D34" s="446"/>
      <c r="E34" s="446"/>
      <c r="F34" s="446"/>
      <c r="G34" s="447"/>
    </row>
    <row r="35" spans="1:7" ht="15.75" customHeight="1" hidden="1">
      <c r="A35" s="6"/>
      <c r="B35" s="502"/>
      <c r="C35" s="503"/>
      <c r="D35" s="503"/>
      <c r="E35" s="503"/>
      <c r="F35" s="503"/>
      <c r="G35" s="503"/>
    </row>
    <row r="36" spans="1:7" ht="15.75" customHeight="1">
      <c r="A36" s="48"/>
      <c r="B36" s="49"/>
      <c r="C36" s="49"/>
      <c r="D36" s="49"/>
      <c r="E36" s="49"/>
      <c r="F36" s="49"/>
      <c r="G36" s="49"/>
    </row>
    <row r="37" spans="1:7" ht="15.75" customHeight="1">
      <c r="A37" s="508" t="s">
        <v>22</v>
      </c>
      <c r="B37" s="509" t="s">
        <v>16</v>
      </c>
      <c r="C37" s="509"/>
      <c r="D37" s="509"/>
      <c r="E37" s="509"/>
      <c r="F37" s="509"/>
      <c r="G37" s="509"/>
    </row>
    <row r="38" spans="1:2" ht="15" customHeight="1">
      <c r="A38" s="508"/>
      <c r="B38" s="1" t="s">
        <v>17</v>
      </c>
    </row>
    <row r="39" ht="15.75">
      <c r="A39" s="3"/>
    </row>
    <row r="40" spans="1:6" ht="31.5">
      <c r="A40" s="6" t="s">
        <v>13</v>
      </c>
      <c r="B40" s="6" t="s">
        <v>18</v>
      </c>
      <c r="C40" s="6" t="s">
        <v>19</v>
      </c>
      <c r="D40" s="6" t="s">
        <v>20</v>
      </c>
      <c r="E40" s="133" t="s">
        <v>21</v>
      </c>
      <c r="F40" s="16"/>
    </row>
    <row r="41" spans="1:6" ht="15.75">
      <c r="A41" s="6">
        <v>1</v>
      </c>
      <c r="B41" s="6">
        <v>2</v>
      </c>
      <c r="C41" s="6">
        <v>3</v>
      </c>
      <c r="D41" s="6">
        <v>4</v>
      </c>
      <c r="E41" s="133">
        <v>6</v>
      </c>
      <c r="F41" s="16"/>
    </row>
    <row r="42" spans="1:6" ht="105">
      <c r="A42" s="6" t="s">
        <v>169</v>
      </c>
      <c r="B42" s="34" t="s">
        <v>550</v>
      </c>
      <c r="C42" s="13">
        <f>E18</f>
        <v>111642</v>
      </c>
      <c r="D42" s="13">
        <v>0</v>
      </c>
      <c r="E42" s="134">
        <f>C42</f>
        <v>111642</v>
      </c>
      <c r="F42" s="129"/>
    </row>
    <row r="43" spans="1:6" ht="15.75">
      <c r="A43" s="6"/>
      <c r="B43" s="34"/>
      <c r="C43" s="13"/>
      <c r="D43" s="13"/>
      <c r="E43" s="134"/>
      <c r="F43" s="129"/>
    </row>
    <row r="44" spans="1:6" ht="15.75">
      <c r="A44" s="434" t="s">
        <v>21</v>
      </c>
      <c r="B44" s="434"/>
      <c r="C44" s="14">
        <f>C42+C43</f>
        <v>111642</v>
      </c>
      <c r="D44" s="14">
        <f>D42</f>
        <v>0</v>
      </c>
      <c r="E44" s="132">
        <f>C44</f>
        <v>111642</v>
      </c>
      <c r="F44" s="131"/>
    </row>
    <row r="45" ht="15.75">
      <c r="A45" s="3"/>
    </row>
    <row r="46" spans="1:7" ht="15.75">
      <c r="A46" s="435" t="s">
        <v>194</v>
      </c>
      <c r="B46" s="436" t="s">
        <v>23</v>
      </c>
      <c r="C46" s="436"/>
      <c r="D46" s="436"/>
      <c r="E46" s="436"/>
      <c r="F46" s="436"/>
      <c r="G46" s="436"/>
    </row>
    <row r="47" spans="1:2" ht="15.75">
      <c r="A47" s="435"/>
      <c r="B47" s="1" t="s">
        <v>17</v>
      </c>
    </row>
    <row r="48" ht="15.75">
      <c r="A48" s="3"/>
    </row>
    <row r="49" spans="2:5" ht="31.5">
      <c r="B49" s="6" t="s">
        <v>193</v>
      </c>
      <c r="C49" s="6" t="s">
        <v>19</v>
      </c>
      <c r="D49" s="6" t="s">
        <v>20</v>
      </c>
      <c r="E49" s="6" t="s">
        <v>21</v>
      </c>
    </row>
    <row r="50" spans="2:5" ht="15.75">
      <c r="B50" s="6">
        <v>1</v>
      </c>
      <c r="C50" s="6">
        <v>2</v>
      </c>
      <c r="D50" s="6">
        <v>3</v>
      </c>
      <c r="E50" s="6">
        <v>4</v>
      </c>
    </row>
    <row r="51" spans="2:5" ht="75">
      <c r="B51" s="31" t="s">
        <v>572</v>
      </c>
      <c r="C51" s="77">
        <f>C42</f>
        <v>111642</v>
      </c>
      <c r="D51" s="24">
        <v>0</v>
      </c>
      <c r="E51" s="24">
        <f>C51</f>
        <v>111642</v>
      </c>
    </row>
    <row r="52" spans="2:5" ht="15.75">
      <c r="B52" s="31"/>
      <c r="C52" s="77"/>
      <c r="D52" s="24"/>
      <c r="E52" s="24"/>
    </row>
    <row r="53" spans="2:5" ht="15.75">
      <c r="B53" s="17" t="s">
        <v>21</v>
      </c>
      <c r="C53" s="25">
        <f>C51+C52</f>
        <v>111642</v>
      </c>
      <c r="D53" s="25">
        <f>D51</f>
        <v>0</v>
      </c>
      <c r="E53" s="117">
        <f>C53</f>
        <v>111642</v>
      </c>
    </row>
    <row r="54" ht="15.75">
      <c r="A54" s="3"/>
    </row>
    <row r="55" spans="1:7" ht="15.75">
      <c r="A55" s="2" t="s">
        <v>47</v>
      </c>
      <c r="B55" s="436" t="s">
        <v>195</v>
      </c>
      <c r="C55" s="436"/>
      <c r="D55" s="436"/>
      <c r="E55" s="436"/>
      <c r="F55" s="436"/>
      <c r="G55" s="436"/>
    </row>
    <row r="56" ht="15.75">
      <c r="A56" s="3"/>
    </row>
    <row r="57" spans="1:7" ht="46.5" customHeight="1">
      <c r="A57" s="6" t="s">
        <v>13</v>
      </c>
      <c r="B57" s="6" t="s">
        <v>196</v>
      </c>
      <c r="C57" s="6" t="s">
        <v>197</v>
      </c>
      <c r="D57" s="6" t="s">
        <v>198</v>
      </c>
      <c r="E57" s="6" t="s">
        <v>19</v>
      </c>
      <c r="F57" s="6" t="s">
        <v>20</v>
      </c>
      <c r="G57" s="6" t="s">
        <v>21</v>
      </c>
    </row>
    <row r="58" spans="1:7" ht="15.75">
      <c r="A58" s="6">
        <v>1</v>
      </c>
      <c r="B58" s="6">
        <v>2</v>
      </c>
      <c r="C58" s="6">
        <v>3</v>
      </c>
      <c r="D58" s="6">
        <v>4</v>
      </c>
      <c r="E58" s="6">
        <v>5</v>
      </c>
      <c r="F58" s="6">
        <v>6</v>
      </c>
      <c r="G58" s="6">
        <v>7</v>
      </c>
    </row>
    <row r="59" spans="1:7" ht="30" customHeight="1">
      <c r="A59" s="6"/>
      <c r="B59" s="437" t="str">
        <f>B34</f>
        <v>Завдання 1. Відшкодування різниці між встановленими та економічно обгрунтованими тарифами на послуги з перевезення пасажирів і багажу автомобільним транспортом на міському маршруті</v>
      </c>
      <c r="C59" s="438"/>
      <c r="D59" s="438"/>
      <c r="E59" s="438"/>
      <c r="F59" s="438"/>
      <c r="G59" s="439"/>
    </row>
    <row r="60" spans="1:7" ht="18.75" customHeight="1">
      <c r="A60" s="6">
        <v>1</v>
      </c>
      <c r="B60" s="33" t="s">
        <v>174</v>
      </c>
      <c r="C60" s="35"/>
      <c r="D60" s="35"/>
      <c r="E60" s="28"/>
      <c r="F60" s="47"/>
      <c r="G60" s="45"/>
    </row>
    <row r="61" spans="1:7" ht="114.75" customHeight="1">
      <c r="A61" s="6"/>
      <c r="B61" s="34" t="s">
        <v>563</v>
      </c>
      <c r="C61" s="34" t="s">
        <v>79</v>
      </c>
      <c r="D61" s="34" t="s">
        <v>551</v>
      </c>
      <c r="E61" s="13">
        <f>C42</f>
        <v>111642</v>
      </c>
      <c r="F61" s="6" t="s">
        <v>109</v>
      </c>
      <c r="G61" s="222">
        <f>E61</f>
        <v>111642</v>
      </c>
    </row>
    <row r="62" spans="1:7" ht="16.5" customHeight="1">
      <c r="A62" s="6">
        <v>2</v>
      </c>
      <c r="B62" s="33" t="s">
        <v>175</v>
      </c>
      <c r="C62" s="66"/>
      <c r="D62" s="34"/>
      <c r="E62" s="13" t="s">
        <v>28</v>
      </c>
      <c r="F62" s="223"/>
      <c r="G62" s="222" t="str">
        <f>E62</f>
        <v> </v>
      </c>
    </row>
    <row r="63" spans="1:7" ht="78.75" customHeight="1">
      <c r="A63" s="6"/>
      <c r="B63" s="34" t="s">
        <v>562</v>
      </c>
      <c r="C63" s="34" t="s">
        <v>64</v>
      </c>
      <c r="D63" s="34" t="s">
        <v>70</v>
      </c>
      <c r="E63" s="13">
        <f>1250*30*7+13</f>
        <v>262513</v>
      </c>
      <c r="F63" s="279" t="s">
        <v>109</v>
      </c>
      <c r="G63" s="222">
        <f>E63</f>
        <v>262513</v>
      </c>
    </row>
    <row r="64" spans="1:7" ht="46.5" customHeight="1">
      <c r="A64" s="6"/>
      <c r="B64" s="34" t="s">
        <v>552</v>
      </c>
      <c r="C64" s="34" t="s">
        <v>79</v>
      </c>
      <c r="D64" s="34" t="s">
        <v>70</v>
      </c>
      <c r="E64" s="13">
        <v>1</v>
      </c>
      <c r="F64" s="279" t="s">
        <v>109</v>
      </c>
      <c r="G64" s="222">
        <f>E64</f>
        <v>1</v>
      </c>
    </row>
    <row r="65" spans="1:7" ht="18.75" customHeight="1">
      <c r="A65" s="6"/>
      <c r="B65" s="67" t="s">
        <v>201</v>
      </c>
      <c r="C65" s="34"/>
      <c r="D65" s="34"/>
      <c r="E65" s="13"/>
      <c r="F65" s="279"/>
      <c r="G65" s="222"/>
    </row>
    <row r="66" spans="1:7" ht="39" customHeight="1">
      <c r="A66" s="6">
        <v>3</v>
      </c>
      <c r="B66" s="34" t="s">
        <v>553</v>
      </c>
      <c r="C66" s="34" t="s">
        <v>79</v>
      </c>
      <c r="D66" s="34" t="s">
        <v>70</v>
      </c>
      <c r="E66" s="83">
        <v>7.1</v>
      </c>
      <c r="F66" s="279" t="s">
        <v>109</v>
      </c>
      <c r="G66" s="222">
        <f>E66</f>
        <v>7.1</v>
      </c>
    </row>
    <row r="67" spans="1:7" ht="31.5" customHeight="1">
      <c r="A67" s="6"/>
      <c r="B67" s="34" t="s">
        <v>554</v>
      </c>
      <c r="C67" s="34" t="s">
        <v>79</v>
      </c>
      <c r="D67" s="34" t="s">
        <v>70</v>
      </c>
      <c r="E67" s="83">
        <v>5</v>
      </c>
      <c r="F67" s="279" t="s">
        <v>109</v>
      </c>
      <c r="G67" s="222">
        <f>E67</f>
        <v>5</v>
      </c>
    </row>
    <row r="68" spans="1:7" ht="44.25" customHeight="1">
      <c r="A68" s="6">
        <v>4</v>
      </c>
      <c r="B68" s="34" t="s">
        <v>573</v>
      </c>
      <c r="C68" s="34" t="s">
        <v>79</v>
      </c>
      <c r="D68" s="34" t="s">
        <v>70</v>
      </c>
      <c r="E68" s="13">
        <f>1250*7.1*30*7+1250*7.1/31*13</f>
        <v>1867471.7741935484</v>
      </c>
      <c r="F68" s="279" t="s">
        <v>109</v>
      </c>
      <c r="G68" s="222">
        <f>E68</f>
        <v>1867471.7741935484</v>
      </c>
    </row>
    <row r="69" spans="1:7" ht="48" customHeight="1">
      <c r="A69" s="6"/>
      <c r="B69" s="67" t="s">
        <v>202</v>
      </c>
      <c r="C69" s="34"/>
      <c r="D69" s="34"/>
      <c r="E69" s="13"/>
      <c r="F69" s="279" t="s">
        <v>109</v>
      </c>
      <c r="G69" s="222">
        <f>E69</f>
        <v>0</v>
      </c>
    </row>
    <row r="70" spans="1:7" ht="60.75" customHeight="1">
      <c r="A70" s="3"/>
      <c r="B70" s="34" t="s">
        <v>555</v>
      </c>
      <c r="C70" s="34" t="s">
        <v>71</v>
      </c>
      <c r="D70" s="34" t="s">
        <v>70</v>
      </c>
      <c r="E70" s="106">
        <f>(E61/E68)*100</f>
        <v>5.9782429669231085</v>
      </c>
      <c r="F70" s="279" t="s">
        <v>109</v>
      </c>
      <c r="G70" s="222">
        <f>E70</f>
        <v>5.9782429669231085</v>
      </c>
    </row>
    <row r="71" spans="1:4" ht="15.75">
      <c r="A71" s="3"/>
      <c r="B71" s="58"/>
      <c r="C71" s="59"/>
      <c r="D71" s="63"/>
    </row>
    <row r="72" spans="1:7" ht="15.75" customHeight="1">
      <c r="A72" s="3" t="s">
        <v>73</v>
      </c>
      <c r="B72" s="3"/>
      <c r="C72" s="3"/>
      <c r="D72" s="8"/>
      <c r="E72" s="75"/>
      <c r="F72" s="430" t="s">
        <v>248</v>
      </c>
      <c r="G72" s="430"/>
    </row>
    <row r="73" spans="1:7" ht="15">
      <c r="A73" s="85"/>
      <c r="B73" s="85"/>
      <c r="C73" s="85"/>
      <c r="D73" s="5" t="s">
        <v>203</v>
      </c>
      <c r="E73" s="86"/>
      <c r="F73" s="472" t="s">
        <v>75</v>
      </c>
      <c r="G73" s="473"/>
    </row>
    <row r="74" spans="1:7" ht="15.75">
      <c r="A74" s="474"/>
      <c r="B74" s="474"/>
      <c r="C74" s="85"/>
      <c r="D74" s="2"/>
      <c r="E74" s="85"/>
      <c r="F74" s="85"/>
      <c r="G74" s="85"/>
    </row>
    <row r="75" spans="1:7" ht="15.75">
      <c r="A75" s="433" t="s">
        <v>204</v>
      </c>
      <c r="B75" s="433"/>
      <c r="C75" s="85"/>
      <c r="E75" s="85"/>
      <c r="F75" s="85"/>
      <c r="G75" s="85"/>
    </row>
    <row r="76" spans="1:7" ht="15.75" customHeight="1">
      <c r="A76" s="3" t="s">
        <v>281</v>
      </c>
      <c r="B76" s="3"/>
      <c r="C76" s="3"/>
      <c r="D76" s="8"/>
      <c r="E76" s="75"/>
      <c r="F76" s="430" t="s">
        <v>247</v>
      </c>
      <c r="G76" s="430"/>
    </row>
    <row r="77" spans="1:7" ht="15.75">
      <c r="A77" s="3" t="s">
        <v>286</v>
      </c>
      <c r="B77" s="3"/>
      <c r="C77" s="85"/>
      <c r="D77" s="5" t="s">
        <v>203</v>
      </c>
      <c r="E77" s="5"/>
      <c r="F77" s="431" t="s">
        <v>75</v>
      </c>
      <c r="G77" s="432"/>
    </row>
    <row r="78" spans="1:7" ht="15.75">
      <c r="A78" s="3"/>
      <c r="B78" s="3"/>
      <c r="C78" s="85"/>
      <c r="D78" s="5"/>
      <c r="E78" s="5"/>
      <c r="F78" s="97"/>
      <c r="G78" s="408"/>
    </row>
    <row r="79" spans="1:7" ht="15">
      <c r="A79" s="85"/>
      <c r="B79" s="102"/>
      <c r="C79" s="85"/>
      <c r="D79" s="5"/>
      <c r="E79" s="5"/>
      <c r="F79" s="97"/>
      <c r="G79" s="408"/>
    </row>
    <row r="80" spans="1:7" ht="15.75">
      <c r="A80" s="1"/>
      <c r="B80" s="92" t="s">
        <v>162</v>
      </c>
      <c r="C80" s="2"/>
      <c r="F80" s="475"/>
      <c r="G80" s="475"/>
    </row>
    <row r="81" ht="15">
      <c r="B81" s="23" t="s">
        <v>163</v>
      </c>
    </row>
  </sheetData>
  <sheetProtection/>
  <mergeCells count="42">
    <mergeCell ref="F73:G73"/>
    <mergeCell ref="A74:B74"/>
    <mergeCell ref="A75:B75"/>
    <mergeCell ref="F76:G76"/>
    <mergeCell ref="F77:G77"/>
    <mergeCell ref="F80:G80"/>
    <mergeCell ref="A44:B44"/>
    <mergeCell ref="A46:A47"/>
    <mergeCell ref="B46:G46"/>
    <mergeCell ref="B55:G55"/>
    <mergeCell ref="B59:G59"/>
    <mergeCell ref="F72:G72"/>
    <mergeCell ref="B32:D32"/>
    <mergeCell ref="B33:G33"/>
    <mergeCell ref="B34:G34"/>
    <mergeCell ref="B35:G35"/>
    <mergeCell ref="A37:A38"/>
    <mergeCell ref="B37:G37"/>
    <mergeCell ref="B24:G24"/>
    <mergeCell ref="B25:G25"/>
    <mergeCell ref="B26:G26"/>
    <mergeCell ref="B27:G27"/>
    <mergeCell ref="B28:G28"/>
    <mergeCell ref="B30:G30"/>
    <mergeCell ref="E17:F17"/>
    <mergeCell ref="B19:G19"/>
    <mergeCell ref="B20:G20"/>
    <mergeCell ref="B21:G21"/>
    <mergeCell ref="B22:G22"/>
    <mergeCell ref="B23:G23"/>
    <mergeCell ref="A10:G10"/>
    <mergeCell ref="D12:F12"/>
    <mergeCell ref="D13:E13"/>
    <mergeCell ref="D14:F14"/>
    <mergeCell ref="D15:E15"/>
    <mergeCell ref="E16:F16"/>
    <mergeCell ref="E1:G1"/>
    <mergeCell ref="E4:G4"/>
    <mergeCell ref="E5:G5"/>
    <mergeCell ref="E6:G6"/>
    <mergeCell ref="E7:G7"/>
    <mergeCell ref="A9:G9"/>
  </mergeCells>
  <printOptions horizontalCentered="1" verticalCentered="1"/>
  <pageMargins left="0.3937007874015748" right="0.5511811023622047" top="1.1811023622047245" bottom="0.4724409448818898" header="0.31496062992125984" footer="0.31496062992125984"/>
  <pageSetup fitToHeight="4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81"/>
  <sheetViews>
    <sheetView zoomScalePageLayoutView="0" workbookViewId="0" topLeftCell="A58">
      <selection activeCell="B66" sqref="B66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16384" width="21.57421875" style="4" customWidth="1"/>
  </cols>
  <sheetData>
    <row r="1" spans="5:7" ht="77.25" customHeight="1">
      <c r="E1" s="484" t="s">
        <v>285</v>
      </c>
      <c r="F1" s="471"/>
      <c r="G1" s="471"/>
    </row>
    <row r="2" spans="1:5" ht="15.75">
      <c r="A2" s="1"/>
      <c r="E2" s="1"/>
    </row>
    <row r="3" spans="1:5" ht="15.75">
      <c r="A3" s="1"/>
      <c r="E3" s="1" t="s">
        <v>166</v>
      </c>
    </row>
    <row r="4" spans="1:7" ht="15.75" customHeight="1">
      <c r="A4" s="1"/>
      <c r="E4" s="468" t="s">
        <v>216</v>
      </c>
      <c r="F4" s="468"/>
      <c r="G4" s="468"/>
    </row>
    <row r="5" spans="1:7" ht="15.75">
      <c r="A5" s="1"/>
      <c r="B5" s="1"/>
      <c r="E5" s="469" t="s">
        <v>207</v>
      </c>
      <c r="F5" s="469"/>
      <c r="G5" s="469"/>
    </row>
    <row r="6" spans="1:7" ht="15" customHeight="1">
      <c r="A6" s="1"/>
      <c r="E6" s="470" t="s">
        <v>167</v>
      </c>
      <c r="F6" s="470"/>
      <c r="G6" s="470"/>
    </row>
    <row r="7" spans="5:7" ht="15">
      <c r="E7" s="443" t="s">
        <v>94</v>
      </c>
      <c r="F7" s="471"/>
      <c r="G7" s="471"/>
    </row>
    <row r="9" spans="1:7" ht="15.75">
      <c r="A9" s="455" t="s">
        <v>168</v>
      </c>
      <c r="B9" s="455"/>
      <c r="C9" s="455"/>
      <c r="D9" s="455"/>
      <c r="E9" s="455"/>
      <c r="F9" s="455"/>
      <c r="G9" s="455"/>
    </row>
    <row r="10" spans="1:7" ht="15.75">
      <c r="A10" s="455" t="s">
        <v>315</v>
      </c>
      <c r="B10" s="455"/>
      <c r="C10" s="455"/>
      <c r="D10" s="455"/>
      <c r="E10" s="455"/>
      <c r="F10" s="455"/>
      <c r="G10" s="455"/>
    </row>
    <row r="11" spans="1:7" ht="15.75">
      <c r="A11" s="156"/>
      <c r="B11" s="156"/>
      <c r="C11" s="156"/>
      <c r="D11" s="156"/>
      <c r="E11" s="156"/>
      <c r="F11" s="156"/>
      <c r="G11" s="156"/>
    </row>
    <row r="12" spans="1:7" ht="15" customHeight="1">
      <c r="A12" s="214" t="s">
        <v>304</v>
      </c>
      <c r="B12" s="405" t="s">
        <v>478</v>
      </c>
      <c r="C12" s="210"/>
      <c r="D12" s="456" t="s">
        <v>207</v>
      </c>
      <c r="E12" s="457"/>
      <c r="F12" s="458"/>
      <c r="G12" s="190">
        <v>38068238</v>
      </c>
    </row>
    <row r="13" spans="2:7" ht="30.75" customHeight="1">
      <c r="B13" s="407" t="s">
        <v>308</v>
      </c>
      <c r="C13" s="196"/>
      <c r="D13" s="459" t="s">
        <v>167</v>
      </c>
      <c r="E13" s="459"/>
      <c r="F13" s="212"/>
      <c r="G13" s="192" t="s">
        <v>305</v>
      </c>
    </row>
    <row r="14" spans="1:7" ht="15" customHeight="1">
      <c r="A14" s="213" t="s">
        <v>306</v>
      </c>
      <c r="B14" s="405" t="s">
        <v>479</v>
      </c>
      <c r="C14" s="211"/>
      <c r="D14" s="460" t="s">
        <v>207</v>
      </c>
      <c r="E14" s="461"/>
      <c r="F14" s="462"/>
      <c r="G14" s="193">
        <v>38068238</v>
      </c>
    </row>
    <row r="15" spans="1:7" ht="39" customHeight="1">
      <c r="A15" s="213"/>
      <c r="B15" s="407" t="s">
        <v>308</v>
      </c>
      <c r="C15" s="196"/>
      <c r="D15" s="463" t="s">
        <v>205</v>
      </c>
      <c r="E15" s="463"/>
      <c r="F15" s="212"/>
      <c r="G15" s="192" t="s">
        <v>305</v>
      </c>
    </row>
    <row r="16" spans="1:7" ht="45.75" customHeight="1">
      <c r="A16" s="194" t="s">
        <v>307</v>
      </c>
      <c r="B16" s="405" t="s">
        <v>500</v>
      </c>
      <c r="C16" s="405" t="s">
        <v>501</v>
      </c>
      <c r="D16" s="405" t="s">
        <v>39</v>
      </c>
      <c r="E16" s="464" t="s">
        <v>499</v>
      </c>
      <c r="F16" s="465"/>
      <c r="G16" s="405" t="s">
        <v>477</v>
      </c>
    </row>
    <row r="17" spans="1:7" ht="45" customHeight="1">
      <c r="A17" s="195"/>
      <c r="B17" s="196" t="s">
        <v>308</v>
      </c>
      <c r="C17" s="407" t="s">
        <v>309</v>
      </c>
      <c r="D17" s="191" t="s">
        <v>310</v>
      </c>
      <c r="E17" s="454" t="s">
        <v>311</v>
      </c>
      <c r="F17" s="454"/>
      <c r="G17" s="407" t="s">
        <v>312</v>
      </c>
    </row>
    <row r="18" spans="1:7" ht="51" customHeight="1">
      <c r="A18" s="2" t="s">
        <v>172</v>
      </c>
      <c r="B18" s="9" t="s">
        <v>210</v>
      </c>
      <c r="C18" s="95">
        <f>E18+G18</f>
        <v>13902</v>
      </c>
      <c r="D18" s="9" t="s">
        <v>43</v>
      </c>
      <c r="E18" s="95">
        <v>0</v>
      </c>
      <c r="F18" s="9" t="s">
        <v>44</v>
      </c>
      <c r="G18" s="95">
        <f>4000+4000+5902</f>
        <v>13902</v>
      </c>
    </row>
    <row r="19" spans="1:7" ht="15.75">
      <c r="A19" s="2" t="s">
        <v>9</v>
      </c>
      <c r="B19" s="436" t="s">
        <v>209</v>
      </c>
      <c r="C19" s="436"/>
      <c r="D19" s="436"/>
      <c r="E19" s="436"/>
      <c r="F19" s="436"/>
      <c r="G19" s="436"/>
    </row>
    <row r="20" spans="1:7" ht="15.75" customHeight="1">
      <c r="A20" s="2"/>
      <c r="B20" s="436" t="s">
        <v>211</v>
      </c>
      <c r="C20" s="436"/>
      <c r="D20" s="436"/>
      <c r="E20" s="436"/>
      <c r="F20" s="436"/>
      <c r="G20" s="436"/>
    </row>
    <row r="21" spans="1:7" ht="15.75" customHeight="1">
      <c r="A21" s="2"/>
      <c r="B21" s="436" t="s">
        <v>215</v>
      </c>
      <c r="C21" s="436"/>
      <c r="D21" s="436"/>
      <c r="E21" s="436"/>
      <c r="F21" s="436"/>
      <c r="G21" s="436"/>
    </row>
    <row r="22" spans="1:7" ht="18" customHeight="1">
      <c r="A22" s="2"/>
      <c r="B22" s="436" t="s">
        <v>332</v>
      </c>
      <c r="C22" s="436"/>
      <c r="D22" s="436"/>
      <c r="E22" s="436"/>
      <c r="F22" s="436"/>
      <c r="G22" s="436"/>
    </row>
    <row r="23" spans="1:7" ht="21" customHeight="1">
      <c r="A23" s="2"/>
      <c r="B23" s="436" t="s">
        <v>217</v>
      </c>
      <c r="C23" s="436"/>
      <c r="D23" s="436"/>
      <c r="E23" s="436"/>
      <c r="F23" s="436"/>
      <c r="G23" s="436"/>
    </row>
    <row r="24" spans="1:7" ht="31.5" customHeight="1">
      <c r="A24" s="2"/>
      <c r="B24" s="436" t="s">
        <v>144</v>
      </c>
      <c r="C24" s="436"/>
      <c r="D24" s="436"/>
      <c r="E24" s="436"/>
      <c r="F24" s="436"/>
      <c r="G24" s="436"/>
    </row>
    <row r="25" spans="1:7" ht="27" customHeight="1">
      <c r="A25" s="2"/>
      <c r="B25" s="450" t="s">
        <v>481</v>
      </c>
      <c r="C25" s="450"/>
      <c r="D25" s="450"/>
      <c r="E25" s="450"/>
      <c r="F25" s="450"/>
      <c r="G25" s="450"/>
    </row>
    <row r="26" spans="1:7" ht="31.5" customHeight="1">
      <c r="A26" s="2"/>
      <c r="B26" s="450" t="s">
        <v>497</v>
      </c>
      <c r="C26" s="450"/>
      <c r="D26" s="450"/>
      <c r="E26" s="450"/>
      <c r="F26" s="450"/>
      <c r="G26" s="450"/>
    </row>
    <row r="27" spans="1:7" ht="12" customHeight="1">
      <c r="A27" s="2"/>
      <c r="B27" s="9"/>
      <c r="C27" s="9"/>
      <c r="D27" s="9"/>
      <c r="E27" s="9"/>
      <c r="F27" s="9"/>
      <c r="G27" s="9"/>
    </row>
    <row r="28" spans="1:7" ht="24.75" customHeight="1">
      <c r="A28" s="2" t="s">
        <v>10</v>
      </c>
      <c r="B28" s="436" t="s">
        <v>41</v>
      </c>
      <c r="C28" s="436"/>
      <c r="D28" s="436"/>
      <c r="E28" s="436"/>
      <c r="F28" s="436"/>
      <c r="G28" s="436"/>
    </row>
    <row r="29" spans="1:7" ht="28.5" customHeight="1">
      <c r="A29" s="6"/>
      <c r="B29" s="451" t="s">
        <v>234</v>
      </c>
      <c r="C29" s="452"/>
      <c r="D29" s="452"/>
      <c r="E29" s="452"/>
      <c r="F29" s="452"/>
      <c r="G29" s="453"/>
    </row>
    <row r="30" spans="1:7" ht="39" customHeight="1">
      <c r="A30" s="6" t="s">
        <v>169</v>
      </c>
      <c r="B30" s="445" t="s">
        <v>502</v>
      </c>
      <c r="C30" s="446"/>
      <c r="D30" s="446"/>
      <c r="E30" s="446"/>
      <c r="F30" s="446"/>
      <c r="G30" s="447"/>
    </row>
    <row r="31" spans="1:7" ht="16.5" customHeight="1">
      <c r="A31" s="16"/>
      <c r="B31" s="50"/>
      <c r="C31" s="50"/>
      <c r="D31" s="50"/>
      <c r="E31" s="50"/>
      <c r="F31" s="50"/>
      <c r="G31" s="50"/>
    </row>
    <row r="32" spans="1:7" ht="41.25" customHeight="1">
      <c r="A32" s="2" t="s">
        <v>11</v>
      </c>
      <c r="B32" s="450" t="s">
        <v>503</v>
      </c>
      <c r="C32" s="450"/>
      <c r="D32" s="450"/>
      <c r="E32" s="450"/>
      <c r="F32" s="450"/>
      <c r="G32" s="450"/>
    </row>
    <row r="33" spans="1:4" ht="31.5" customHeight="1">
      <c r="A33" s="2" t="s">
        <v>15</v>
      </c>
      <c r="B33" s="443" t="s">
        <v>12</v>
      </c>
      <c r="C33" s="443"/>
      <c r="D33" s="443"/>
    </row>
    <row r="34" ht="15.75">
      <c r="A34" s="3"/>
    </row>
    <row r="35" spans="1:7" ht="15.75">
      <c r="A35" s="6" t="s">
        <v>13</v>
      </c>
      <c r="B35" s="444" t="s">
        <v>14</v>
      </c>
      <c r="C35" s="444"/>
      <c r="D35" s="444"/>
      <c r="E35" s="444"/>
      <c r="F35" s="444"/>
      <c r="G35" s="444"/>
    </row>
    <row r="36" spans="1:7" ht="45.75" customHeight="1">
      <c r="A36" s="6" t="s">
        <v>169</v>
      </c>
      <c r="B36" s="445" t="s">
        <v>504</v>
      </c>
      <c r="C36" s="446" t="s">
        <v>26</v>
      </c>
      <c r="D36" s="446" t="s">
        <v>26</v>
      </c>
      <c r="E36" s="446" t="s">
        <v>26</v>
      </c>
      <c r="F36" s="446" t="s">
        <v>26</v>
      </c>
      <c r="G36" s="447" t="s">
        <v>26</v>
      </c>
    </row>
    <row r="37" spans="1:7" s="32" customFormat="1" ht="15.75" customHeight="1">
      <c r="A37" s="51"/>
      <c r="B37" s="50"/>
      <c r="C37" s="50"/>
      <c r="D37" s="50"/>
      <c r="E37" s="50"/>
      <c r="F37" s="50"/>
      <c r="G37" s="50"/>
    </row>
    <row r="38" spans="1:7" ht="15.75" customHeight="1">
      <c r="A38" s="508" t="s">
        <v>22</v>
      </c>
      <c r="B38" s="509" t="s">
        <v>16</v>
      </c>
      <c r="C38" s="509"/>
      <c r="D38" s="509"/>
      <c r="E38" s="509"/>
      <c r="F38" s="509"/>
      <c r="G38" s="509"/>
    </row>
    <row r="39" ht="15">
      <c r="A39" s="508"/>
    </row>
    <row r="40" spans="1:5" ht="15.75">
      <c r="A40" s="3"/>
      <c r="E40" s="96" t="s">
        <v>17</v>
      </c>
    </row>
    <row r="41" spans="1:5" ht="31.5">
      <c r="A41" s="6" t="s">
        <v>13</v>
      </c>
      <c r="B41" s="6" t="s">
        <v>18</v>
      </c>
      <c r="C41" s="6" t="s">
        <v>19</v>
      </c>
      <c r="D41" s="6" t="s">
        <v>20</v>
      </c>
      <c r="E41" s="6" t="s">
        <v>21</v>
      </c>
    </row>
    <row r="42" spans="1:5" ht="15.75">
      <c r="A42" s="6">
        <v>1</v>
      </c>
      <c r="B42" s="6">
        <v>2</v>
      </c>
      <c r="C42" s="6">
        <v>3</v>
      </c>
      <c r="D42" s="6">
        <v>4</v>
      </c>
      <c r="E42" s="6">
        <v>6</v>
      </c>
    </row>
    <row r="43" spans="1:5" ht="75">
      <c r="A43" s="133" t="s">
        <v>169</v>
      </c>
      <c r="B43" s="146" t="s">
        <v>505</v>
      </c>
      <c r="C43" s="134">
        <f>E18</f>
        <v>0</v>
      </c>
      <c r="D43" s="134">
        <f>G18</f>
        <v>13902</v>
      </c>
      <c r="E43" s="134">
        <f>C43+D43</f>
        <v>13902</v>
      </c>
    </row>
    <row r="44" spans="1:5" ht="15.75">
      <c r="A44" s="434" t="s">
        <v>21</v>
      </c>
      <c r="B44" s="434"/>
      <c r="C44" s="14">
        <f>SUM(C43:C43)</f>
        <v>0</v>
      </c>
      <c r="D44" s="14">
        <f>SUM(D43:D43)</f>
        <v>13902</v>
      </c>
      <c r="E44" s="14">
        <f>SUM(E43:E43)</f>
        <v>13902</v>
      </c>
    </row>
    <row r="45" ht="15.75">
      <c r="A45" s="3"/>
    </row>
    <row r="46" ht="15.75">
      <c r="A46" s="3"/>
    </row>
    <row r="47" spans="1:7" ht="15.75">
      <c r="A47" s="435" t="s">
        <v>194</v>
      </c>
      <c r="B47" s="436" t="s">
        <v>23</v>
      </c>
      <c r="C47" s="436"/>
      <c r="D47" s="436"/>
      <c r="E47" s="436"/>
      <c r="F47" s="436"/>
      <c r="G47" s="436"/>
    </row>
    <row r="48" spans="1:2" ht="15.75">
      <c r="A48" s="435"/>
      <c r="B48" s="1" t="s">
        <v>17</v>
      </c>
    </row>
    <row r="49" ht="15.75">
      <c r="A49" s="3"/>
    </row>
    <row r="50" spans="2:5" ht="31.5">
      <c r="B50" s="6" t="s">
        <v>193</v>
      </c>
      <c r="C50" s="6" t="s">
        <v>19</v>
      </c>
      <c r="D50" s="6" t="s">
        <v>20</v>
      </c>
      <c r="E50" s="6" t="s">
        <v>21</v>
      </c>
    </row>
    <row r="51" spans="2:5" ht="15.75">
      <c r="B51" s="6">
        <v>1</v>
      </c>
      <c r="C51" s="6">
        <v>2</v>
      </c>
      <c r="D51" s="6">
        <v>3</v>
      </c>
      <c r="E51" s="6">
        <v>4</v>
      </c>
    </row>
    <row r="52" spans="2:5" ht="75">
      <c r="B52" s="146" t="s">
        <v>580</v>
      </c>
      <c r="C52" s="24">
        <f>C43</f>
        <v>0</v>
      </c>
      <c r="D52" s="24">
        <f>D43</f>
        <v>13902</v>
      </c>
      <c r="E52" s="24">
        <f>C52+D52</f>
        <v>13902</v>
      </c>
    </row>
    <row r="53" spans="2:5" ht="15.75">
      <c r="B53" s="17" t="s">
        <v>21</v>
      </c>
      <c r="C53" s="25">
        <f>C52</f>
        <v>0</v>
      </c>
      <c r="D53" s="25">
        <f>D52</f>
        <v>13902</v>
      </c>
      <c r="E53" s="25">
        <f>E52</f>
        <v>13902</v>
      </c>
    </row>
    <row r="54" ht="15.75">
      <c r="A54" s="3"/>
    </row>
    <row r="55" ht="15.75">
      <c r="A55" s="3"/>
    </row>
    <row r="56" spans="1:7" ht="15.75">
      <c r="A56" s="2" t="s">
        <v>47</v>
      </c>
      <c r="B56" s="436" t="s">
        <v>195</v>
      </c>
      <c r="C56" s="436"/>
      <c r="D56" s="436"/>
      <c r="E56" s="436"/>
      <c r="F56" s="436"/>
      <c r="G56" s="436"/>
    </row>
    <row r="57" ht="15.75">
      <c r="A57" s="3"/>
    </row>
    <row r="58" spans="1:7" ht="46.5" customHeight="1">
      <c r="A58" s="6" t="s">
        <v>13</v>
      </c>
      <c r="B58" s="6" t="s">
        <v>196</v>
      </c>
      <c r="C58" s="6" t="s">
        <v>197</v>
      </c>
      <c r="D58" s="6" t="s">
        <v>198</v>
      </c>
      <c r="E58" s="6" t="s">
        <v>19</v>
      </c>
      <c r="F58" s="6" t="s">
        <v>20</v>
      </c>
      <c r="G58" s="6" t="s">
        <v>21</v>
      </c>
    </row>
    <row r="59" spans="1:7" ht="15.75">
      <c r="A59" s="6">
        <v>1</v>
      </c>
      <c r="B59" s="6">
        <v>2</v>
      </c>
      <c r="C59" s="6">
        <v>3</v>
      </c>
      <c r="D59" s="6">
        <v>4</v>
      </c>
      <c r="E59" s="6">
        <v>5</v>
      </c>
      <c r="F59" s="6">
        <v>6</v>
      </c>
      <c r="G59" s="6">
        <v>7</v>
      </c>
    </row>
    <row r="60" spans="1:7" ht="41.25" customHeight="1">
      <c r="A60" s="6" t="s">
        <v>169</v>
      </c>
      <c r="B60" s="490" t="s">
        <v>504</v>
      </c>
      <c r="C60" s="491"/>
      <c r="D60" s="491"/>
      <c r="E60" s="491"/>
      <c r="F60" s="491"/>
      <c r="G60" s="492"/>
    </row>
    <row r="61" spans="1:7" ht="14.25" customHeight="1">
      <c r="A61" s="6"/>
      <c r="B61" s="17" t="s">
        <v>199</v>
      </c>
      <c r="C61" s="17"/>
      <c r="D61" s="17"/>
      <c r="E61" s="17"/>
      <c r="F61" s="17"/>
      <c r="G61" s="17"/>
    </row>
    <row r="62" spans="1:8" ht="39" customHeight="1">
      <c r="A62" s="6"/>
      <c r="B62" s="12" t="s">
        <v>48</v>
      </c>
      <c r="C62" s="224" t="s">
        <v>79</v>
      </c>
      <c r="D62" s="225" t="s">
        <v>8</v>
      </c>
      <c r="E62" s="222">
        <f>C52</f>
        <v>0</v>
      </c>
      <c r="F62" s="222">
        <f>D52</f>
        <v>13902</v>
      </c>
      <c r="G62" s="222">
        <f>F62</f>
        <v>13902</v>
      </c>
      <c r="H62" s="89"/>
    </row>
    <row r="63" spans="1:7" ht="16.5" customHeight="1">
      <c r="A63" s="6"/>
      <c r="B63" s="72" t="s">
        <v>200</v>
      </c>
      <c r="C63" s="224"/>
      <c r="D63" s="112"/>
      <c r="E63" s="134"/>
      <c r="F63" s="6"/>
      <c r="G63" s="222"/>
    </row>
    <row r="64" spans="1:7" ht="30" customHeight="1">
      <c r="A64" s="6"/>
      <c r="B64" s="12" t="s">
        <v>29</v>
      </c>
      <c r="C64" s="224" t="s">
        <v>66</v>
      </c>
      <c r="D64" s="112" t="s">
        <v>69</v>
      </c>
      <c r="E64" s="134">
        <v>0</v>
      </c>
      <c r="F64" s="6">
        <v>3</v>
      </c>
      <c r="G64" s="222">
        <f>E64+F64</f>
        <v>3</v>
      </c>
    </row>
    <row r="65" spans="1:7" ht="13.5" customHeight="1">
      <c r="A65" s="6"/>
      <c r="B65" s="72" t="s">
        <v>201</v>
      </c>
      <c r="C65" s="224"/>
      <c r="D65" s="112"/>
      <c r="E65" s="134"/>
      <c r="F65" s="6"/>
      <c r="G65" s="222"/>
    </row>
    <row r="66" spans="1:7" ht="21.75" customHeight="1">
      <c r="A66" s="6"/>
      <c r="B66" s="12" t="s">
        <v>143</v>
      </c>
      <c r="C66" s="224" t="s">
        <v>79</v>
      </c>
      <c r="D66" s="112" t="s">
        <v>70</v>
      </c>
      <c r="E66" s="133">
        <v>0</v>
      </c>
      <c r="F66" s="133">
        <f>F62/F64</f>
        <v>4634</v>
      </c>
      <c r="G66" s="133">
        <f>F66</f>
        <v>4634</v>
      </c>
    </row>
    <row r="67" spans="1:7" ht="21" customHeight="1">
      <c r="A67" s="6"/>
      <c r="B67" s="72" t="s">
        <v>202</v>
      </c>
      <c r="C67" s="224"/>
      <c r="D67" s="112"/>
      <c r="E67" s="133"/>
      <c r="F67" s="223"/>
      <c r="G67" s="222"/>
    </row>
    <row r="68" spans="1:7" ht="42.75" customHeight="1">
      <c r="A68" s="6"/>
      <c r="B68" s="12" t="s">
        <v>506</v>
      </c>
      <c r="C68" s="224" t="s">
        <v>71</v>
      </c>
      <c r="D68" s="112" t="s">
        <v>70</v>
      </c>
      <c r="E68" s="133">
        <v>0</v>
      </c>
      <c r="F68" s="222">
        <v>100</v>
      </c>
      <c r="G68" s="222">
        <f>F68</f>
        <v>100</v>
      </c>
    </row>
    <row r="69" spans="1:4" ht="15.75">
      <c r="A69" s="3"/>
      <c r="B69" s="58"/>
      <c r="C69" s="59"/>
      <c r="D69" s="63"/>
    </row>
    <row r="70" spans="1:4" ht="15.75">
      <c r="A70" s="3"/>
      <c r="B70" s="58"/>
      <c r="C70" s="59"/>
      <c r="D70" s="63"/>
    </row>
    <row r="71" spans="1:7" ht="15.75">
      <c r="A71" s="3" t="s">
        <v>73</v>
      </c>
      <c r="B71" s="3"/>
      <c r="C71" s="3"/>
      <c r="D71" s="8"/>
      <c r="E71" s="75"/>
      <c r="F71" s="430" t="s">
        <v>74</v>
      </c>
      <c r="G71" s="430"/>
    </row>
    <row r="72" spans="1:7" ht="15">
      <c r="A72" s="85"/>
      <c r="B72" s="85"/>
      <c r="C72" s="85"/>
      <c r="D72" s="5" t="s">
        <v>203</v>
      </c>
      <c r="E72" s="86"/>
      <c r="F72" s="472" t="s">
        <v>75</v>
      </c>
      <c r="G72" s="473"/>
    </row>
    <row r="73" spans="1:7" ht="15.75">
      <c r="A73" s="474"/>
      <c r="B73" s="474"/>
      <c r="C73" s="85"/>
      <c r="D73" s="2"/>
      <c r="E73" s="85"/>
      <c r="F73" s="85"/>
      <c r="G73" s="85"/>
    </row>
    <row r="74" spans="1:7" ht="15.75">
      <c r="A74" s="433" t="s">
        <v>204</v>
      </c>
      <c r="B74" s="433"/>
      <c r="C74" s="85"/>
      <c r="E74" s="85"/>
      <c r="F74" s="85"/>
      <c r="G74" s="85"/>
    </row>
    <row r="75" spans="1:7" ht="15.75" customHeight="1">
      <c r="A75" s="3" t="s">
        <v>281</v>
      </c>
      <c r="B75" s="3"/>
      <c r="C75" s="3"/>
      <c r="D75" s="8"/>
      <c r="E75" s="75"/>
      <c r="F75" s="430" t="s">
        <v>76</v>
      </c>
      <c r="G75" s="430"/>
    </row>
    <row r="76" spans="1:7" ht="15.75" customHeight="1">
      <c r="A76" s="3" t="s">
        <v>286</v>
      </c>
      <c r="B76" s="3"/>
      <c r="C76" s="3"/>
      <c r="D76" s="5" t="s">
        <v>203</v>
      </c>
      <c r="E76" s="5"/>
      <c r="F76" s="431" t="s">
        <v>75</v>
      </c>
      <c r="G76" s="432"/>
    </row>
    <row r="77" spans="1:7" ht="15.75" customHeight="1">
      <c r="A77" s="3"/>
      <c r="B77" s="3"/>
      <c r="C77" s="3"/>
      <c r="D77" s="15"/>
      <c r="E77" s="75"/>
      <c r="F77" s="51"/>
      <c r="G77" s="51"/>
    </row>
    <row r="78" spans="1:7" ht="15.75" customHeight="1">
      <c r="A78" s="3"/>
      <c r="B78" s="3"/>
      <c r="C78" s="3"/>
      <c r="D78" s="15"/>
      <c r="E78" s="75"/>
      <c r="F78" s="51"/>
      <c r="G78" s="51"/>
    </row>
    <row r="79" spans="1:3" ht="15">
      <c r="A79" s="85"/>
      <c r="B79" s="102"/>
      <c r="C79" s="85"/>
    </row>
    <row r="80" spans="1:7" ht="15.75">
      <c r="A80" s="1"/>
      <c r="B80" s="92" t="s">
        <v>162</v>
      </c>
      <c r="C80" s="2"/>
      <c r="F80" s="475"/>
      <c r="G80" s="475"/>
    </row>
    <row r="81" ht="15">
      <c r="B81" s="23" t="s">
        <v>163</v>
      </c>
    </row>
  </sheetData>
  <sheetProtection/>
  <mergeCells count="42">
    <mergeCell ref="F72:G72"/>
    <mergeCell ref="A73:B73"/>
    <mergeCell ref="A74:B74"/>
    <mergeCell ref="F75:G75"/>
    <mergeCell ref="F76:G76"/>
    <mergeCell ref="F80:G80"/>
    <mergeCell ref="A44:B44"/>
    <mergeCell ref="A47:A48"/>
    <mergeCell ref="B47:G47"/>
    <mergeCell ref="B56:G56"/>
    <mergeCell ref="B60:G60"/>
    <mergeCell ref="F71:G71"/>
    <mergeCell ref="B32:G32"/>
    <mergeCell ref="B33:D33"/>
    <mergeCell ref="B35:G35"/>
    <mergeCell ref="B36:G36"/>
    <mergeCell ref="A38:A39"/>
    <mergeCell ref="B38:G38"/>
    <mergeCell ref="B24:G24"/>
    <mergeCell ref="B25:G25"/>
    <mergeCell ref="B26:G26"/>
    <mergeCell ref="B28:G28"/>
    <mergeCell ref="B29:G29"/>
    <mergeCell ref="B30:G30"/>
    <mergeCell ref="E17:F17"/>
    <mergeCell ref="B19:G19"/>
    <mergeCell ref="B20:G20"/>
    <mergeCell ref="B21:G21"/>
    <mergeCell ref="B22:G22"/>
    <mergeCell ref="B23:G23"/>
    <mergeCell ref="A10:G10"/>
    <mergeCell ref="D12:F12"/>
    <mergeCell ref="D13:E13"/>
    <mergeCell ref="D14:F14"/>
    <mergeCell ref="D15:E15"/>
    <mergeCell ref="E16:F16"/>
    <mergeCell ref="E1:G1"/>
    <mergeCell ref="E4:G4"/>
    <mergeCell ref="E5:G5"/>
    <mergeCell ref="E6:G6"/>
    <mergeCell ref="E7:G7"/>
    <mergeCell ref="A9:G9"/>
  </mergeCells>
  <printOptions horizontalCentered="1" verticalCentered="1"/>
  <pageMargins left="0.3937007874015748" right="0.3937007874015748" top="1.1811023622047245" bottom="0.2755905511811024" header="0.31496062992125984" footer="0.31496062992125984"/>
  <pageSetup fitToHeight="3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09"/>
  <sheetViews>
    <sheetView zoomScalePageLayoutView="0" workbookViewId="0" topLeftCell="A61">
      <selection activeCell="B71" sqref="B71:G71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16384" width="21.57421875" style="4" customWidth="1"/>
  </cols>
  <sheetData>
    <row r="1" spans="5:7" ht="77.25" customHeight="1">
      <c r="E1" s="484" t="s">
        <v>470</v>
      </c>
      <c r="F1" s="471"/>
      <c r="G1" s="471"/>
    </row>
    <row r="2" spans="1:5" ht="15.75">
      <c r="A2" s="1"/>
      <c r="E2" s="1"/>
    </row>
    <row r="3" spans="1:5" ht="15.75">
      <c r="A3" s="1"/>
      <c r="E3" s="1" t="s">
        <v>166</v>
      </c>
    </row>
    <row r="4" spans="1:7" ht="15.75" customHeight="1">
      <c r="A4" s="1"/>
      <c r="E4" s="468" t="s">
        <v>95</v>
      </c>
      <c r="F4" s="468"/>
      <c r="G4" s="468"/>
    </row>
    <row r="5" spans="1:7" ht="15.75">
      <c r="A5" s="1"/>
      <c r="B5" s="1"/>
      <c r="E5" s="469" t="s">
        <v>207</v>
      </c>
      <c r="F5" s="469"/>
      <c r="G5" s="469"/>
    </row>
    <row r="6" spans="1:7" ht="15" customHeight="1">
      <c r="A6" s="1"/>
      <c r="E6" s="470" t="s">
        <v>167</v>
      </c>
      <c r="F6" s="470"/>
      <c r="G6" s="470"/>
    </row>
    <row r="7" spans="5:7" ht="15">
      <c r="E7" s="443" t="s">
        <v>94</v>
      </c>
      <c r="F7" s="471"/>
      <c r="G7" s="471"/>
    </row>
    <row r="9" spans="1:7" ht="15.75">
      <c r="A9" s="455" t="s">
        <v>168</v>
      </c>
      <c r="B9" s="455"/>
      <c r="C9" s="455"/>
      <c r="D9" s="455"/>
      <c r="E9" s="455"/>
      <c r="F9" s="455"/>
      <c r="G9" s="455"/>
    </row>
    <row r="10" spans="1:7" ht="15.75">
      <c r="A10" s="455" t="s">
        <v>315</v>
      </c>
      <c r="B10" s="455"/>
      <c r="C10" s="455"/>
      <c r="D10" s="455"/>
      <c r="E10" s="455"/>
      <c r="F10" s="455"/>
      <c r="G10" s="455"/>
    </row>
    <row r="11" spans="1:7" ht="15.75">
      <c r="A11" s="156"/>
      <c r="B11" s="156"/>
      <c r="C11" s="156"/>
      <c r="D11" s="156"/>
      <c r="E11" s="156"/>
      <c r="F11" s="156"/>
      <c r="G11" s="156"/>
    </row>
    <row r="12" spans="1:7" ht="15" customHeight="1">
      <c r="A12" s="214" t="s">
        <v>304</v>
      </c>
      <c r="B12" s="405" t="s">
        <v>478</v>
      </c>
      <c r="C12" s="210"/>
      <c r="D12" s="456" t="s">
        <v>207</v>
      </c>
      <c r="E12" s="457"/>
      <c r="F12" s="458"/>
      <c r="G12" s="190">
        <v>38068238</v>
      </c>
    </row>
    <row r="13" spans="2:7" ht="30.75" customHeight="1">
      <c r="B13" s="407" t="s">
        <v>308</v>
      </c>
      <c r="C13" s="196"/>
      <c r="D13" s="459" t="s">
        <v>167</v>
      </c>
      <c r="E13" s="459"/>
      <c r="F13" s="212"/>
      <c r="G13" s="192" t="s">
        <v>305</v>
      </c>
    </row>
    <row r="14" spans="1:7" ht="15" customHeight="1">
      <c r="A14" s="213" t="s">
        <v>306</v>
      </c>
      <c r="B14" s="405" t="s">
        <v>479</v>
      </c>
      <c r="C14" s="211"/>
      <c r="D14" s="460" t="s">
        <v>207</v>
      </c>
      <c r="E14" s="461"/>
      <c r="F14" s="462"/>
      <c r="G14" s="193">
        <v>38068238</v>
      </c>
    </row>
    <row r="15" spans="1:7" ht="48" customHeight="1">
      <c r="A15" s="213"/>
      <c r="B15" s="407" t="s">
        <v>308</v>
      </c>
      <c r="C15" s="196"/>
      <c r="D15" s="463" t="s">
        <v>205</v>
      </c>
      <c r="E15" s="463"/>
      <c r="F15" s="212"/>
      <c r="G15" s="192" t="s">
        <v>305</v>
      </c>
    </row>
    <row r="16" spans="1:7" ht="30" customHeight="1">
      <c r="A16" s="194" t="s">
        <v>307</v>
      </c>
      <c r="B16" s="405" t="s">
        <v>377</v>
      </c>
      <c r="C16" s="405" t="s">
        <v>378</v>
      </c>
      <c r="D16" s="405" t="s">
        <v>39</v>
      </c>
      <c r="E16" s="464" t="s">
        <v>379</v>
      </c>
      <c r="F16" s="465"/>
      <c r="G16" s="405" t="s">
        <v>477</v>
      </c>
    </row>
    <row r="17" spans="1:7" ht="45" customHeight="1">
      <c r="A17" s="195"/>
      <c r="B17" s="196" t="s">
        <v>308</v>
      </c>
      <c r="C17" s="407" t="s">
        <v>309</v>
      </c>
      <c r="D17" s="191" t="s">
        <v>310</v>
      </c>
      <c r="E17" s="454" t="s">
        <v>311</v>
      </c>
      <c r="F17" s="454"/>
      <c r="G17" s="407" t="s">
        <v>312</v>
      </c>
    </row>
    <row r="18" spans="1:7" ht="51" customHeight="1">
      <c r="A18" s="2" t="s">
        <v>172</v>
      </c>
      <c r="B18" s="9" t="s">
        <v>210</v>
      </c>
      <c r="C18" s="10">
        <f>E18+G18</f>
        <v>109107</v>
      </c>
      <c r="D18" s="9" t="s">
        <v>43</v>
      </c>
      <c r="E18" s="10">
        <f>98000+2104-25756+49988-15229</f>
        <v>109107</v>
      </c>
      <c r="F18" s="9" t="s">
        <v>44</v>
      </c>
      <c r="G18" s="10">
        <v>0</v>
      </c>
    </row>
    <row r="19" spans="1:7" ht="15.75">
      <c r="A19" s="2" t="s">
        <v>9</v>
      </c>
      <c r="B19" s="436" t="s">
        <v>209</v>
      </c>
      <c r="C19" s="436"/>
      <c r="D19" s="436"/>
      <c r="E19" s="436"/>
      <c r="F19" s="436"/>
      <c r="G19" s="436"/>
    </row>
    <row r="20" spans="1:7" ht="23.25" customHeight="1">
      <c r="A20" s="2"/>
      <c r="B20" s="436" t="s">
        <v>211</v>
      </c>
      <c r="C20" s="436"/>
      <c r="D20" s="436"/>
      <c r="E20" s="436"/>
      <c r="F20" s="436"/>
      <c r="G20" s="436"/>
    </row>
    <row r="21" spans="1:7" ht="19.5" customHeight="1">
      <c r="A21" s="2"/>
      <c r="B21" s="436" t="s">
        <v>215</v>
      </c>
      <c r="C21" s="436"/>
      <c r="D21" s="436"/>
      <c r="E21" s="436"/>
      <c r="F21" s="436"/>
      <c r="G21" s="436"/>
    </row>
    <row r="22" spans="1:7" ht="21.75" customHeight="1">
      <c r="A22" s="2"/>
      <c r="B22" s="436" t="s">
        <v>332</v>
      </c>
      <c r="C22" s="436"/>
      <c r="D22" s="436"/>
      <c r="E22" s="436"/>
      <c r="F22" s="436"/>
      <c r="G22" s="436"/>
    </row>
    <row r="23" spans="1:7" ht="31.5" customHeight="1">
      <c r="A23" s="2"/>
      <c r="B23" s="436" t="s">
        <v>212</v>
      </c>
      <c r="C23" s="436"/>
      <c r="D23" s="436"/>
      <c r="E23" s="436"/>
      <c r="F23" s="436"/>
      <c r="G23" s="436"/>
    </row>
    <row r="24" spans="1:7" ht="24.75" customHeight="1">
      <c r="A24" s="2"/>
      <c r="B24" s="450" t="s">
        <v>630</v>
      </c>
      <c r="C24" s="450"/>
      <c r="D24" s="450"/>
      <c r="E24" s="450"/>
      <c r="F24" s="450"/>
      <c r="G24" s="450"/>
    </row>
    <row r="25" spans="1:7" ht="33" customHeight="1">
      <c r="A25" s="2"/>
      <c r="B25" s="450" t="s">
        <v>633</v>
      </c>
      <c r="C25" s="450"/>
      <c r="D25" s="450"/>
      <c r="E25" s="450"/>
      <c r="F25" s="450"/>
      <c r="G25" s="450"/>
    </row>
    <row r="26" spans="1:7" ht="33.75" customHeight="1">
      <c r="A26" s="2"/>
      <c r="B26" s="450" t="s">
        <v>497</v>
      </c>
      <c r="C26" s="450"/>
      <c r="D26" s="450"/>
      <c r="E26" s="450"/>
      <c r="F26" s="450"/>
      <c r="G26" s="450"/>
    </row>
    <row r="27" spans="1:7" ht="33.75" customHeight="1">
      <c r="A27" s="2" t="s">
        <v>10</v>
      </c>
      <c r="B27" s="436" t="s">
        <v>41</v>
      </c>
      <c r="C27" s="436"/>
      <c r="D27" s="436"/>
      <c r="E27" s="436"/>
      <c r="F27" s="436"/>
      <c r="G27" s="436"/>
    </row>
    <row r="28" spans="1:7" ht="20.25" customHeight="1">
      <c r="A28" s="6"/>
      <c r="B28" s="451" t="s">
        <v>234</v>
      </c>
      <c r="C28" s="452"/>
      <c r="D28" s="452"/>
      <c r="E28" s="452"/>
      <c r="F28" s="452"/>
      <c r="G28" s="453"/>
    </row>
    <row r="29" spans="1:7" ht="24" customHeight="1">
      <c r="A29" s="6" t="s">
        <v>169</v>
      </c>
      <c r="B29" s="502" t="s">
        <v>380</v>
      </c>
      <c r="C29" s="502"/>
      <c r="D29" s="502"/>
      <c r="E29" s="502"/>
      <c r="F29" s="502"/>
      <c r="G29" s="502"/>
    </row>
    <row r="30" spans="1:7" ht="15.75" customHeight="1">
      <c r="A30" s="16"/>
      <c r="B30" s="50"/>
      <c r="C30" s="50"/>
      <c r="D30" s="50"/>
      <c r="E30" s="50"/>
      <c r="F30" s="50"/>
      <c r="G30" s="50"/>
    </row>
    <row r="31" spans="1:7" ht="44.25" customHeight="1">
      <c r="A31" s="2" t="s">
        <v>11</v>
      </c>
      <c r="B31" s="436" t="s">
        <v>214</v>
      </c>
      <c r="C31" s="436"/>
      <c r="D31" s="436"/>
      <c r="E31" s="436"/>
      <c r="F31" s="436"/>
      <c r="G31" s="436"/>
    </row>
    <row r="32" spans="1:4" ht="31.5" customHeight="1">
      <c r="A32" s="2" t="s">
        <v>15</v>
      </c>
      <c r="B32" s="443" t="s">
        <v>12</v>
      </c>
      <c r="C32" s="443"/>
      <c r="D32" s="443"/>
    </row>
    <row r="33" ht="15.75">
      <c r="A33" s="3"/>
    </row>
    <row r="34" spans="1:7" ht="15.75">
      <c r="A34" s="6" t="s">
        <v>13</v>
      </c>
      <c r="B34" s="444" t="s">
        <v>14</v>
      </c>
      <c r="C34" s="444"/>
      <c r="D34" s="444"/>
      <c r="E34" s="444"/>
      <c r="F34" s="444"/>
      <c r="G34" s="444"/>
    </row>
    <row r="35" spans="1:7" ht="34.5" customHeight="1">
      <c r="A35" s="6" t="s">
        <v>169</v>
      </c>
      <c r="B35" s="502" t="s">
        <v>463</v>
      </c>
      <c r="C35" s="502" t="s">
        <v>26</v>
      </c>
      <c r="D35" s="502" t="s">
        <v>26</v>
      </c>
      <c r="E35" s="502" t="s">
        <v>26</v>
      </c>
      <c r="F35" s="502" t="s">
        <v>26</v>
      </c>
      <c r="G35" s="502" t="s">
        <v>26</v>
      </c>
    </row>
    <row r="36" spans="1:7" ht="15.75" customHeight="1">
      <c r="A36" s="41" t="s">
        <v>170</v>
      </c>
      <c r="B36" s="502" t="s">
        <v>464</v>
      </c>
      <c r="C36" s="502"/>
      <c r="D36" s="502"/>
      <c r="E36" s="502"/>
      <c r="F36" s="502"/>
      <c r="G36" s="502"/>
    </row>
    <row r="37" spans="1:7" ht="36" customHeight="1">
      <c r="A37" s="6" t="s">
        <v>171</v>
      </c>
      <c r="B37" s="502" t="s">
        <v>570</v>
      </c>
      <c r="C37" s="502"/>
      <c r="D37" s="502"/>
      <c r="E37" s="502"/>
      <c r="F37" s="502"/>
      <c r="G37" s="502"/>
    </row>
    <row r="38" spans="1:7" ht="32.25" customHeight="1">
      <c r="A38" s="6" t="s">
        <v>172</v>
      </c>
      <c r="B38" s="445" t="s">
        <v>656</v>
      </c>
      <c r="C38" s="446"/>
      <c r="D38" s="446"/>
      <c r="E38" s="446"/>
      <c r="F38" s="446"/>
      <c r="G38" s="447"/>
    </row>
    <row r="39" spans="1:7" ht="15.75" customHeight="1">
      <c r="A39" s="508" t="s">
        <v>22</v>
      </c>
      <c r="B39" s="509" t="s">
        <v>16</v>
      </c>
      <c r="C39" s="509"/>
      <c r="D39" s="509"/>
      <c r="E39" s="509"/>
      <c r="F39" s="509"/>
      <c r="G39" s="509"/>
    </row>
    <row r="40" spans="1:2" ht="15.75">
      <c r="A40" s="508"/>
      <c r="B40" s="1" t="s">
        <v>17</v>
      </c>
    </row>
    <row r="41" spans="1:5" ht="31.5">
      <c r="A41" s="6" t="s">
        <v>13</v>
      </c>
      <c r="B41" s="6" t="s">
        <v>18</v>
      </c>
      <c r="C41" s="6" t="s">
        <v>19</v>
      </c>
      <c r="D41" s="6" t="s">
        <v>20</v>
      </c>
      <c r="E41" s="6" t="s">
        <v>21</v>
      </c>
    </row>
    <row r="42" spans="1:5" ht="15.75">
      <c r="A42" s="6">
        <v>1</v>
      </c>
      <c r="B42" s="6">
        <v>2</v>
      </c>
      <c r="C42" s="6">
        <v>3</v>
      </c>
      <c r="D42" s="6">
        <v>4</v>
      </c>
      <c r="E42" s="6">
        <v>6</v>
      </c>
    </row>
    <row r="43" spans="1:5" ht="117.75" customHeight="1">
      <c r="A43" s="6" t="s">
        <v>169</v>
      </c>
      <c r="B43" s="12" t="s">
        <v>467</v>
      </c>
      <c r="C43" s="229">
        <v>49000</v>
      </c>
      <c r="D43" s="229">
        <v>0</v>
      </c>
      <c r="E43" s="229">
        <f>C43+D43</f>
        <v>49000</v>
      </c>
    </row>
    <row r="44" spans="1:5" ht="93.75" customHeight="1">
      <c r="A44" s="6" t="s">
        <v>170</v>
      </c>
      <c r="B44" s="12" t="s">
        <v>465</v>
      </c>
      <c r="C44" s="229">
        <f>49000-25756-15229</f>
        <v>8015</v>
      </c>
      <c r="D44" s="229">
        <v>0</v>
      </c>
      <c r="E44" s="229">
        <f>C44+D44</f>
        <v>8015</v>
      </c>
    </row>
    <row r="45" spans="1:5" ht="99.75" customHeight="1">
      <c r="A45" s="6" t="s">
        <v>171</v>
      </c>
      <c r="B45" s="12" t="s">
        <v>571</v>
      </c>
      <c r="C45" s="229">
        <v>2104</v>
      </c>
      <c r="D45" s="229">
        <v>0</v>
      </c>
      <c r="E45" s="229">
        <f>C45+D45</f>
        <v>2104</v>
      </c>
    </row>
    <row r="46" spans="1:5" ht="81" customHeight="1">
      <c r="A46" s="6" t="s">
        <v>172</v>
      </c>
      <c r="B46" s="12" t="s">
        <v>657</v>
      </c>
      <c r="C46" s="229">
        <v>49988</v>
      </c>
      <c r="D46" s="229">
        <v>0</v>
      </c>
      <c r="E46" s="229">
        <f>C46+D46</f>
        <v>49988</v>
      </c>
    </row>
    <row r="47" spans="1:5" ht="15.75">
      <c r="A47" s="434" t="s">
        <v>21</v>
      </c>
      <c r="B47" s="434"/>
      <c r="C47" s="14">
        <f>SUM(C43:C46)</f>
        <v>109107</v>
      </c>
      <c r="D47" s="14">
        <f>D43</f>
        <v>0</v>
      </c>
      <c r="E47" s="14">
        <f>C47</f>
        <v>109107</v>
      </c>
    </row>
    <row r="48" ht="15.75">
      <c r="A48" s="3"/>
    </row>
    <row r="49" spans="1:7" ht="15.75">
      <c r="A49" s="435" t="s">
        <v>194</v>
      </c>
      <c r="B49" s="436" t="s">
        <v>23</v>
      </c>
      <c r="C49" s="436"/>
      <c r="D49" s="436"/>
      <c r="E49" s="436"/>
      <c r="F49" s="436"/>
      <c r="G49" s="436"/>
    </row>
    <row r="50" spans="1:2" ht="15.75">
      <c r="A50" s="435"/>
      <c r="B50" s="1" t="s">
        <v>17</v>
      </c>
    </row>
    <row r="51" ht="15.75">
      <c r="A51" s="3"/>
    </row>
    <row r="52" spans="2:5" ht="31.5">
      <c r="B52" s="6" t="s">
        <v>193</v>
      </c>
      <c r="C52" s="6" t="s">
        <v>19</v>
      </c>
      <c r="D52" s="6" t="s">
        <v>20</v>
      </c>
      <c r="E52" s="6" t="s">
        <v>21</v>
      </c>
    </row>
    <row r="53" spans="2:5" ht="15.75">
      <c r="B53" s="6">
        <v>1</v>
      </c>
      <c r="C53" s="6">
        <v>2</v>
      </c>
      <c r="D53" s="6">
        <v>3</v>
      </c>
      <c r="E53" s="6">
        <v>4</v>
      </c>
    </row>
    <row r="54" spans="2:5" ht="85.5" customHeight="1">
      <c r="B54" s="6" t="s">
        <v>574</v>
      </c>
      <c r="C54" s="276">
        <f>2104+49988</f>
        <v>52092</v>
      </c>
      <c r="D54" s="276">
        <v>0</v>
      </c>
      <c r="E54" s="277">
        <f>C54</f>
        <v>52092</v>
      </c>
    </row>
    <row r="55" spans="2:5" ht="120">
      <c r="B55" s="146" t="s">
        <v>634</v>
      </c>
      <c r="C55" s="277">
        <f>98000-25756-15229</f>
        <v>57015</v>
      </c>
      <c r="D55" s="277">
        <v>0</v>
      </c>
      <c r="E55" s="277">
        <f>C55</f>
        <v>57015</v>
      </c>
    </row>
    <row r="56" spans="2:5" ht="15.75">
      <c r="B56" s="17" t="s">
        <v>21</v>
      </c>
      <c r="C56" s="278">
        <f>SUM(C54:C55)</f>
        <v>109107</v>
      </c>
      <c r="D56" s="278">
        <f>SUM(D54:D55)</f>
        <v>0</v>
      </c>
      <c r="E56" s="278">
        <f>SUM(E54:E55)</f>
        <v>109107</v>
      </c>
    </row>
    <row r="57" ht="15.75">
      <c r="A57" s="3"/>
    </row>
    <row r="58" spans="1:7" ht="15.75">
      <c r="A58" s="2" t="s">
        <v>47</v>
      </c>
      <c r="B58" s="436" t="s">
        <v>195</v>
      </c>
      <c r="C58" s="436"/>
      <c r="D58" s="436"/>
      <c r="E58" s="436"/>
      <c r="F58" s="436"/>
      <c r="G58" s="436"/>
    </row>
    <row r="59" ht="15.75">
      <c r="A59" s="3"/>
    </row>
    <row r="60" spans="1:7" ht="46.5" customHeight="1">
      <c r="A60" s="6" t="s">
        <v>13</v>
      </c>
      <c r="B60" s="6" t="s">
        <v>196</v>
      </c>
      <c r="C60" s="6" t="s">
        <v>197</v>
      </c>
      <c r="D60" s="6" t="s">
        <v>198</v>
      </c>
      <c r="E60" s="6" t="s">
        <v>19</v>
      </c>
      <c r="F60" s="6" t="s">
        <v>20</v>
      </c>
      <c r="G60" s="6" t="s">
        <v>21</v>
      </c>
    </row>
    <row r="61" spans="1:7" ht="15.75">
      <c r="A61" s="6">
        <v>1</v>
      </c>
      <c r="B61" s="6">
        <v>2</v>
      </c>
      <c r="C61" s="6">
        <v>3</v>
      </c>
      <c r="D61" s="6">
        <v>4</v>
      </c>
      <c r="E61" s="6">
        <v>5</v>
      </c>
      <c r="F61" s="6">
        <v>6</v>
      </c>
      <c r="G61" s="6">
        <v>7</v>
      </c>
    </row>
    <row r="62" spans="1:7" ht="36" customHeight="1">
      <c r="A62" s="6"/>
      <c r="B62" s="516" t="s">
        <v>468</v>
      </c>
      <c r="C62" s="516" t="s">
        <v>26</v>
      </c>
      <c r="D62" s="516" t="s">
        <v>26</v>
      </c>
      <c r="E62" s="516" t="s">
        <v>26</v>
      </c>
      <c r="F62" s="516" t="s">
        <v>26</v>
      </c>
      <c r="G62" s="516" t="s">
        <v>26</v>
      </c>
    </row>
    <row r="63" spans="1:7" ht="15.75">
      <c r="A63" s="6"/>
      <c r="B63" s="52" t="s">
        <v>199</v>
      </c>
      <c r="C63" s="6"/>
      <c r="D63" s="6"/>
      <c r="E63" s="6"/>
      <c r="F63" s="6"/>
      <c r="G63" s="6"/>
    </row>
    <row r="64" spans="1:7" ht="18.75" customHeight="1">
      <c r="A64" s="6">
        <v>1</v>
      </c>
      <c r="B64" s="31" t="s">
        <v>48</v>
      </c>
      <c r="C64" s="35" t="s">
        <v>28</v>
      </c>
      <c r="D64" s="35" t="s">
        <v>28</v>
      </c>
      <c r="E64" s="28"/>
      <c r="F64" s="47"/>
      <c r="G64" s="45"/>
    </row>
    <row r="65" spans="1:7" ht="15.75">
      <c r="A65" s="6"/>
      <c r="B65" s="33" t="s">
        <v>200</v>
      </c>
      <c r="C65" s="35" t="s">
        <v>79</v>
      </c>
      <c r="D65" s="35" t="s">
        <v>61</v>
      </c>
      <c r="E65" s="13">
        <v>49000</v>
      </c>
      <c r="F65" s="6"/>
      <c r="G65" s="22">
        <f>E65</f>
        <v>49000</v>
      </c>
    </row>
    <row r="66" spans="1:7" ht="62.25" customHeight="1">
      <c r="A66" s="6">
        <v>2</v>
      </c>
      <c r="B66" s="31" t="s">
        <v>381</v>
      </c>
      <c r="C66" s="35" t="s">
        <v>182</v>
      </c>
      <c r="D66" s="37" t="s">
        <v>70</v>
      </c>
      <c r="E66" s="47">
        <v>40</v>
      </c>
      <c r="F66" s="80"/>
      <c r="G66" s="22">
        <f>E66</f>
        <v>40</v>
      </c>
    </row>
    <row r="67" spans="1:7" ht="17.25" customHeight="1">
      <c r="A67" s="6">
        <v>3</v>
      </c>
      <c r="B67" s="33" t="s">
        <v>201</v>
      </c>
      <c r="C67" s="28"/>
      <c r="D67" s="53"/>
      <c r="E67" s="47" t="s">
        <v>28</v>
      </c>
      <c r="F67" s="39"/>
      <c r="G67" s="22"/>
    </row>
    <row r="68" spans="1:7" ht="48" customHeight="1">
      <c r="A68" s="6"/>
      <c r="B68" s="34" t="s">
        <v>185</v>
      </c>
      <c r="C68" s="36" t="s">
        <v>79</v>
      </c>
      <c r="D68" s="37" t="s">
        <v>70</v>
      </c>
      <c r="E68" s="47">
        <f>E65/E66</f>
        <v>1225</v>
      </c>
      <c r="F68" s="39"/>
      <c r="G68" s="22">
        <f>E68</f>
        <v>1225</v>
      </c>
    </row>
    <row r="69" spans="1:7" ht="17.25" customHeight="1">
      <c r="A69" s="6"/>
      <c r="B69" s="33" t="s">
        <v>202</v>
      </c>
      <c r="C69" s="35"/>
      <c r="D69" s="35"/>
      <c r="E69" s="47"/>
      <c r="F69" s="39"/>
      <c r="G69" s="22"/>
    </row>
    <row r="70" spans="1:7" ht="48.75" customHeight="1">
      <c r="A70" s="6">
        <v>4</v>
      </c>
      <c r="B70" s="57" t="s">
        <v>184</v>
      </c>
      <c r="C70" s="37" t="s">
        <v>71</v>
      </c>
      <c r="D70" s="36" t="s">
        <v>70</v>
      </c>
      <c r="E70" s="47">
        <v>100</v>
      </c>
      <c r="F70" s="39"/>
      <c r="G70" s="22">
        <f>E70</f>
        <v>100</v>
      </c>
    </row>
    <row r="71" spans="1:7" ht="16.5" customHeight="1">
      <c r="A71" s="6"/>
      <c r="B71" s="516" t="s">
        <v>466</v>
      </c>
      <c r="C71" s="516"/>
      <c r="D71" s="516"/>
      <c r="E71" s="516"/>
      <c r="F71" s="516"/>
      <c r="G71" s="516"/>
    </row>
    <row r="72" spans="1:7" ht="16.5" customHeight="1">
      <c r="A72" s="6">
        <v>1</v>
      </c>
      <c r="B72" s="56" t="s">
        <v>199</v>
      </c>
      <c r="C72" s="6"/>
      <c r="D72" s="6"/>
      <c r="E72" s="6"/>
      <c r="F72" s="6"/>
      <c r="G72" s="6"/>
    </row>
    <row r="73" spans="1:7" ht="16.5" customHeight="1">
      <c r="A73" s="6"/>
      <c r="B73" s="57" t="s">
        <v>48</v>
      </c>
      <c r="C73" s="35" t="s">
        <v>28</v>
      </c>
      <c r="D73" s="35" t="s">
        <v>28</v>
      </c>
      <c r="E73" s="39">
        <f>49000-25756-15229</f>
        <v>8015</v>
      </c>
      <c r="F73" s="47"/>
      <c r="G73" s="45">
        <f>E73</f>
        <v>8015</v>
      </c>
    </row>
    <row r="74" spans="1:7" ht="16.5" customHeight="1">
      <c r="A74" s="6">
        <v>2</v>
      </c>
      <c r="B74" s="56" t="s">
        <v>200</v>
      </c>
      <c r="C74" s="37" t="s">
        <v>79</v>
      </c>
      <c r="D74" s="37" t="s">
        <v>61</v>
      </c>
      <c r="E74" s="47"/>
      <c r="F74" s="6"/>
      <c r="G74" s="22"/>
    </row>
    <row r="75" spans="1:7" ht="29.25" customHeight="1">
      <c r="A75" s="6"/>
      <c r="B75" s="57" t="s">
        <v>382</v>
      </c>
      <c r="C75" s="37" t="s">
        <v>182</v>
      </c>
      <c r="D75" s="37" t="s">
        <v>70</v>
      </c>
      <c r="E75" s="82">
        <v>1</v>
      </c>
      <c r="F75" s="29"/>
      <c r="G75" s="22">
        <f>E75</f>
        <v>1</v>
      </c>
    </row>
    <row r="76" spans="1:7" ht="16.5" customHeight="1">
      <c r="A76" s="6">
        <v>3</v>
      </c>
      <c r="B76" s="56" t="s">
        <v>201</v>
      </c>
      <c r="C76" s="53"/>
      <c r="D76" s="53"/>
      <c r="E76" s="47" t="s">
        <v>28</v>
      </c>
      <c r="F76" s="39"/>
      <c r="G76" s="22"/>
    </row>
    <row r="77" spans="1:7" ht="45" customHeight="1">
      <c r="A77" s="6"/>
      <c r="B77" s="57" t="s">
        <v>383</v>
      </c>
      <c r="C77" s="36" t="s">
        <v>79</v>
      </c>
      <c r="D77" s="37" t="s">
        <v>70</v>
      </c>
      <c r="E77" s="47">
        <f>E73/E75</f>
        <v>8015</v>
      </c>
      <c r="F77" s="39"/>
      <c r="G77" s="22">
        <f>E77</f>
        <v>8015</v>
      </c>
    </row>
    <row r="78" spans="1:7" ht="16.5" customHeight="1">
      <c r="A78" s="6">
        <v>4</v>
      </c>
      <c r="B78" s="56" t="s">
        <v>202</v>
      </c>
      <c r="C78" s="37"/>
      <c r="D78" s="37"/>
      <c r="E78" s="47"/>
      <c r="F78" s="39"/>
      <c r="G78" s="22"/>
    </row>
    <row r="79" spans="1:7" ht="48.75" customHeight="1">
      <c r="A79" s="6"/>
      <c r="B79" s="57" t="s">
        <v>179</v>
      </c>
      <c r="C79" s="37" t="s">
        <v>71</v>
      </c>
      <c r="D79" s="36" t="s">
        <v>70</v>
      </c>
      <c r="E79" s="47">
        <v>100</v>
      </c>
      <c r="F79" s="39"/>
      <c r="G79" s="22">
        <f>E79</f>
        <v>100</v>
      </c>
    </row>
    <row r="80" spans="1:7" ht="34.5" customHeight="1">
      <c r="A80" s="6"/>
      <c r="B80" s="516" t="s">
        <v>660</v>
      </c>
      <c r="C80" s="516"/>
      <c r="D80" s="516"/>
      <c r="E80" s="516"/>
      <c r="F80" s="516"/>
      <c r="G80" s="516"/>
    </row>
    <row r="81" spans="1:7" ht="15.75">
      <c r="A81" s="6">
        <v>1</v>
      </c>
      <c r="B81" s="56" t="s">
        <v>199</v>
      </c>
      <c r="C81" s="6"/>
      <c r="D81" s="6"/>
      <c r="E81" s="6"/>
      <c r="F81" s="6"/>
      <c r="G81" s="6"/>
    </row>
    <row r="82" spans="1:7" ht="15.75" customHeight="1">
      <c r="A82" s="6"/>
      <c r="B82" s="57" t="s">
        <v>48</v>
      </c>
      <c r="C82" s="35" t="s">
        <v>28</v>
      </c>
      <c r="D82" s="35" t="s">
        <v>28</v>
      </c>
      <c r="E82" s="39">
        <v>2104</v>
      </c>
      <c r="F82" s="47"/>
      <c r="G82" s="45">
        <f>E82</f>
        <v>2104</v>
      </c>
    </row>
    <row r="83" spans="1:7" ht="15.75">
      <c r="A83" s="6">
        <v>2</v>
      </c>
      <c r="B83" s="56" t="s">
        <v>200</v>
      </c>
      <c r="C83" s="37" t="s">
        <v>79</v>
      </c>
      <c r="D83" s="37" t="s">
        <v>61</v>
      </c>
      <c r="E83" s="47"/>
      <c r="F83" s="6"/>
      <c r="G83" s="22"/>
    </row>
    <row r="84" spans="1:7" ht="15.75">
      <c r="A84" s="6"/>
      <c r="B84" s="57" t="s">
        <v>556</v>
      </c>
      <c r="C84" s="37" t="s">
        <v>182</v>
      </c>
      <c r="D84" s="37" t="s">
        <v>70</v>
      </c>
      <c r="E84" s="82">
        <v>2</v>
      </c>
      <c r="F84" s="29"/>
      <c r="G84" s="22">
        <f>E84</f>
        <v>2</v>
      </c>
    </row>
    <row r="85" spans="1:7" ht="15.75" customHeight="1">
      <c r="A85" s="6">
        <v>3</v>
      </c>
      <c r="B85" s="56" t="s">
        <v>201</v>
      </c>
      <c r="C85" s="53"/>
      <c r="D85" s="53"/>
      <c r="E85" s="47" t="s">
        <v>28</v>
      </c>
      <c r="F85" s="39"/>
      <c r="G85" s="22"/>
    </row>
    <row r="86" spans="1:7" ht="32.25" customHeight="1">
      <c r="A86" s="6"/>
      <c r="B86" s="57" t="s">
        <v>557</v>
      </c>
      <c r="C86" s="36" t="s">
        <v>79</v>
      </c>
      <c r="D86" s="37" t="s">
        <v>70</v>
      </c>
      <c r="E86" s="47">
        <f>E82/E84</f>
        <v>1052</v>
      </c>
      <c r="F86" s="39"/>
      <c r="G86" s="22">
        <f>E86</f>
        <v>1052</v>
      </c>
    </row>
    <row r="87" spans="1:7" ht="18.75" customHeight="1">
      <c r="A87" s="6">
        <v>4</v>
      </c>
      <c r="B87" s="56" t="s">
        <v>202</v>
      </c>
      <c r="C87" s="37"/>
      <c r="D87" s="37"/>
      <c r="E87" s="47"/>
      <c r="F87" s="39"/>
      <c r="G87" s="22"/>
    </row>
    <row r="88" spans="1:7" ht="45">
      <c r="A88" s="6"/>
      <c r="B88" s="57" t="s">
        <v>179</v>
      </c>
      <c r="C88" s="37" t="s">
        <v>71</v>
      </c>
      <c r="D88" s="36" t="s">
        <v>70</v>
      </c>
      <c r="E88" s="47">
        <v>100</v>
      </c>
      <c r="F88" s="39"/>
      <c r="G88" s="22">
        <f>E88</f>
        <v>100</v>
      </c>
    </row>
    <row r="89" spans="1:7" ht="36.75" customHeight="1">
      <c r="A89" s="6"/>
      <c r="B89" s="437" t="s">
        <v>661</v>
      </c>
      <c r="C89" s="438"/>
      <c r="D89" s="438"/>
      <c r="E89" s="438"/>
      <c r="F89" s="438"/>
      <c r="G89" s="439"/>
    </row>
    <row r="90" spans="1:7" ht="15.75">
      <c r="A90" s="6">
        <v>1</v>
      </c>
      <c r="B90" s="56" t="s">
        <v>199</v>
      </c>
      <c r="C90" s="6"/>
      <c r="D90" s="6"/>
      <c r="E90" s="6"/>
      <c r="F90" s="6"/>
      <c r="G90" s="6"/>
    </row>
    <row r="91" spans="1:7" ht="15.75">
      <c r="A91" s="6"/>
      <c r="B91" s="57" t="s">
        <v>48</v>
      </c>
      <c r="C91" s="35" t="s">
        <v>28</v>
      </c>
      <c r="D91" s="35" t="s">
        <v>28</v>
      </c>
      <c r="E91" s="39">
        <f>E46</f>
        <v>49988</v>
      </c>
      <c r="F91" s="47"/>
      <c r="G91" s="45">
        <f>E91</f>
        <v>49988</v>
      </c>
    </row>
    <row r="92" spans="1:7" ht="15.75">
      <c r="A92" s="6">
        <v>2</v>
      </c>
      <c r="B92" s="56" t="s">
        <v>200</v>
      </c>
      <c r="C92" s="37" t="s">
        <v>79</v>
      </c>
      <c r="D92" s="37" t="s">
        <v>61</v>
      </c>
      <c r="E92" s="47"/>
      <c r="F92" s="6"/>
      <c r="G92" s="22"/>
    </row>
    <row r="93" spans="1:7" ht="15.75">
      <c r="A93" s="6"/>
      <c r="B93" s="57" t="s">
        <v>658</v>
      </c>
      <c r="C93" s="37" t="s">
        <v>182</v>
      </c>
      <c r="D93" s="37" t="s">
        <v>70</v>
      </c>
      <c r="E93" s="82">
        <v>1</v>
      </c>
      <c r="F93" s="29"/>
      <c r="G93" s="22">
        <f>E93</f>
        <v>1</v>
      </c>
    </row>
    <row r="94" spans="1:7" ht="15.75">
      <c r="A94" s="6">
        <v>3</v>
      </c>
      <c r="B94" s="56" t="s">
        <v>201</v>
      </c>
      <c r="C94" s="53"/>
      <c r="D94" s="53"/>
      <c r="E94" s="47" t="s">
        <v>28</v>
      </c>
      <c r="F94" s="39"/>
      <c r="G94" s="22"/>
    </row>
    <row r="95" spans="1:7" ht="30">
      <c r="A95" s="6"/>
      <c r="B95" s="57" t="s">
        <v>659</v>
      </c>
      <c r="C95" s="36" t="s">
        <v>79</v>
      </c>
      <c r="D95" s="37" t="s">
        <v>70</v>
      </c>
      <c r="E95" s="47">
        <f>E91/E93</f>
        <v>49988</v>
      </c>
      <c r="F95" s="39"/>
      <c r="G95" s="22">
        <f>E95</f>
        <v>49988</v>
      </c>
    </row>
    <row r="96" spans="1:7" ht="15.75">
      <c r="A96" s="6">
        <v>4</v>
      </c>
      <c r="B96" s="56" t="s">
        <v>202</v>
      </c>
      <c r="C96" s="37"/>
      <c r="D96" s="37"/>
      <c r="E96" s="47"/>
      <c r="F96" s="39"/>
      <c r="G96" s="22"/>
    </row>
    <row r="97" spans="1:7" ht="45">
      <c r="A97" s="6"/>
      <c r="B97" s="57" t="s">
        <v>179</v>
      </c>
      <c r="C97" s="37" t="s">
        <v>71</v>
      </c>
      <c r="D97" s="36" t="s">
        <v>70</v>
      </c>
      <c r="E97" s="47">
        <v>100</v>
      </c>
      <c r="F97" s="39"/>
      <c r="G97" s="22">
        <f>E97</f>
        <v>100</v>
      </c>
    </row>
    <row r="98" spans="1:7" ht="15.75">
      <c r="A98" s="16"/>
      <c r="B98" s="63"/>
      <c r="D98" s="69"/>
      <c r="E98" s="70"/>
      <c r="F98" s="64"/>
      <c r="G98" s="65"/>
    </row>
    <row r="99" spans="1:4" ht="15.75">
      <c r="A99" s="3"/>
      <c r="B99" s="58"/>
      <c r="C99" s="59"/>
      <c r="D99" s="63"/>
    </row>
    <row r="100" spans="1:7" ht="15.75">
      <c r="A100" s="3" t="s">
        <v>73</v>
      </c>
      <c r="B100" s="3"/>
      <c r="C100" s="3"/>
      <c r="D100" s="8"/>
      <c r="E100" s="75"/>
      <c r="F100" s="390" t="s">
        <v>74</v>
      </c>
      <c r="G100" s="390"/>
    </row>
    <row r="101" spans="1:7" ht="15">
      <c r="A101" s="85"/>
      <c r="B101" s="85"/>
      <c r="C101" s="85"/>
      <c r="D101" s="5" t="s">
        <v>203</v>
      </c>
      <c r="E101" s="86"/>
      <c r="F101" s="270" t="s">
        <v>75</v>
      </c>
      <c r="G101" s="270"/>
    </row>
    <row r="102" spans="1:7" ht="15.75">
      <c r="A102" s="226"/>
      <c r="B102" s="226"/>
      <c r="C102" s="85"/>
      <c r="D102" s="2"/>
      <c r="E102" s="85"/>
      <c r="F102" s="85"/>
      <c r="G102" s="85"/>
    </row>
    <row r="103" spans="1:7" ht="24" customHeight="1">
      <c r="A103" s="474" t="s">
        <v>204</v>
      </c>
      <c r="B103" s="474"/>
      <c r="C103" s="85"/>
      <c r="E103" s="85"/>
      <c r="F103" s="85"/>
      <c r="G103" s="85"/>
    </row>
    <row r="104" spans="1:7" ht="15.75">
      <c r="A104" s="3" t="s">
        <v>281</v>
      </c>
      <c r="B104" s="3"/>
      <c r="C104" s="3"/>
      <c r="D104" s="8"/>
      <c r="E104" s="75"/>
      <c r="F104" s="390" t="s">
        <v>76</v>
      </c>
      <c r="G104" s="390"/>
    </row>
    <row r="105" spans="1:7" ht="15.75">
      <c r="A105" s="3" t="s">
        <v>286</v>
      </c>
      <c r="B105" s="3"/>
      <c r="C105" s="85"/>
      <c r="D105" s="5" t="s">
        <v>203</v>
      </c>
      <c r="E105" s="5"/>
      <c r="F105" s="270" t="s">
        <v>75</v>
      </c>
      <c r="G105" s="270"/>
    </row>
    <row r="106" spans="1:7" ht="15.75">
      <c r="A106" s="3"/>
      <c r="B106" s="3"/>
      <c r="C106" s="85"/>
      <c r="D106" s="5"/>
      <c r="E106" s="5"/>
      <c r="F106" s="97"/>
      <c r="G106" s="408"/>
    </row>
    <row r="107" spans="1:7" ht="15.75">
      <c r="A107" s="3"/>
      <c r="B107" s="101"/>
      <c r="C107" s="85"/>
      <c r="D107" s="5"/>
      <c r="E107" s="5"/>
      <c r="F107" s="97"/>
      <c r="G107" s="408"/>
    </row>
    <row r="108" spans="1:7" ht="15.75">
      <c r="A108" s="1"/>
      <c r="B108" s="92" t="s">
        <v>162</v>
      </c>
      <c r="C108" s="2"/>
      <c r="F108" s="269"/>
      <c r="G108" s="269"/>
    </row>
    <row r="109" ht="15">
      <c r="B109" s="23" t="s">
        <v>163</v>
      </c>
    </row>
  </sheetData>
  <sheetProtection/>
  <mergeCells count="42">
    <mergeCell ref="B58:G58"/>
    <mergeCell ref="B62:G62"/>
    <mergeCell ref="B71:G71"/>
    <mergeCell ref="B80:G80"/>
    <mergeCell ref="B89:G89"/>
    <mergeCell ref="A103:B103"/>
    <mergeCell ref="B38:G38"/>
    <mergeCell ref="A39:A40"/>
    <mergeCell ref="B39:G39"/>
    <mergeCell ref="A47:B47"/>
    <mergeCell ref="A49:A50"/>
    <mergeCell ref="B49:G49"/>
    <mergeCell ref="B31:G31"/>
    <mergeCell ref="B32:D32"/>
    <mergeCell ref="B34:G34"/>
    <mergeCell ref="B35:G35"/>
    <mergeCell ref="B36:G36"/>
    <mergeCell ref="B37:G37"/>
    <mergeCell ref="B24:G24"/>
    <mergeCell ref="B25:G25"/>
    <mergeCell ref="B26:G26"/>
    <mergeCell ref="B27:G27"/>
    <mergeCell ref="B28:G28"/>
    <mergeCell ref="B29:G29"/>
    <mergeCell ref="E17:F17"/>
    <mergeCell ref="B19:G19"/>
    <mergeCell ref="B20:G20"/>
    <mergeCell ref="B21:G21"/>
    <mergeCell ref="B22:G22"/>
    <mergeCell ref="B23:G23"/>
    <mergeCell ref="A10:G10"/>
    <mergeCell ref="D12:F12"/>
    <mergeCell ref="D13:E13"/>
    <mergeCell ref="D14:F14"/>
    <mergeCell ref="D15:E15"/>
    <mergeCell ref="E16:F16"/>
    <mergeCell ref="E1:G1"/>
    <mergeCell ref="E4:G4"/>
    <mergeCell ref="E5:G5"/>
    <mergeCell ref="E6:G6"/>
    <mergeCell ref="E7:G7"/>
    <mergeCell ref="A9:G9"/>
  </mergeCells>
  <printOptions horizontalCentered="1" verticalCentered="1"/>
  <pageMargins left="0.31496062992125984" right="0.31496062992125984" top="1.141732283464567" bottom="0.35433070866141736" header="0.31496062992125984" footer="0.31496062992125984"/>
  <pageSetup fitToHeight="5" fitToWidth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05"/>
  <sheetViews>
    <sheetView zoomScalePageLayoutView="0" workbookViewId="0" topLeftCell="A49">
      <selection activeCell="B56" sqref="B56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16384" width="21.57421875" style="4" customWidth="1"/>
  </cols>
  <sheetData>
    <row r="1" spans="5:7" ht="77.25" customHeight="1">
      <c r="E1" s="484" t="s">
        <v>135</v>
      </c>
      <c r="F1" s="471"/>
      <c r="G1" s="471"/>
    </row>
    <row r="2" spans="1:5" ht="15.75">
      <c r="A2" s="1"/>
      <c r="E2" s="1"/>
    </row>
    <row r="3" spans="1:5" ht="15.75">
      <c r="A3" s="1"/>
      <c r="E3" s="1" t="s">
        <v>166</v>
      </c>
    </row>
    <row r="4" spans="1:7" ht="15.75" customHeight="1">
      <c r="A4" s="1"/>
      <c r="E4" s="468" t="s">
        <v>95</v>
      </c>
      <c r="F4" s="468"/>
      <c r="G4" s="468"/>
    </row>
    <row r="5" spans="1:7" ht="15.75">
      <c r="A5" s="1"/>
      <c r="B5" s="1"/>
      <c r="E5" s="469" t="s">
        <v>207</v>
      </c>
      <c r="F5" s="469"/>
      <c r="G5" s="469"/>
    </row>
    <row r="6" spans="1:7" ht="15" customHeight="1">
      <c r="A6" s="1"/>
      <c r="E6" s="470" t="s">
        <v>167</v>
      </c>
      <c r="F6" s="470"/>
      <c r="G6" s="470"/>
    </row>
    <row r="7" spans="5:7" ht="15">
      <c r="E7" s="443" t="s">
        <v>94</v>
      </c>
      <c r="F7" s="471"/>
      <c r="G7" s="471"/>
    </row>
    <row r="9" spans="1:7" ht="15.75">
      <c r="A9" s="455" t="s">
        <v>168</v>
      </c>
      <c r="B9" s="455"/>
      <c r="C9" s="455"/>
      <c r="D9" s="455"/>
      <c r="E9" s="455"/>
      <c r="F9" s="455"/>
      <c r="G9" s="455"/>
    </row>
    <row r="10" spans="1:7" ht="15.75">
      <c r="A10" s="455" t="s">
        <v>315</v>
      </c>
      <c r="B10" s="455"/>
      <c r="C10" s="455"/>
      <c r="D10" s="455"/>
      <c r="E10" s="455"/>
      <c r="F10" s="455"/>
      <c r="G10" s="455"/>
    </row>
    <row r="11" spans="1:7" ht="15.75">
      <c r="A11" s="156"/>
      <c r="B11" s="156"/>
      <c r="C11" s="156"/>
      <c r="D11" s="156"/>
      <c r="E11" s="156"/>
      <c r="F11" s="156"/>
      <c r="G11" s="156"/>
    </row>
    <row r="12" spans="1:7" ht="15" customHeight="1">
      <c r="A12" s="214" t="s">
        <v>304</v>
      </c>
      <c r="B12" s="405" t="s">
        <v>384</v>
      </c>
      <c r="C12" s="210"/>
      <c r="D12" s="456" t="s">
        <v>207</v>
      </c>
      <c r="E12" s="457"/>
      <c r="F12" s="458"/>
      <c r="G12" s="190">
        <v>38068238</v>
      </c>
    </row>
    <row r="13" spans="2:7" ht="27.75" customHeight="1">
      <c r="B13" s="407" t="s">
        <v>308</v>
      </c>
      <c r="C13" s="196"/>
      <c r="D13" s="459" t="s">
        <v>167</v>
      </c>
      <c r="E13" s="459"/>
      <c r="F13" s="212"/>
      <c r="G13" s="192" t="s">
        <v>305</v>
      </c>
    </row>
    <row r="14" spans="1:7" ht="15" customHeight="1">
      <c r="A14" s="213" t="s">
        <v>306</v>
      </c>
      <c r="B14" s="405" t="s">
        <v>384</v>
      </c>
      <c r="C14" s="211"/>
      <c r="D14" s="460" t="s">
        <v>207</v>
      </c>
      <c r="E14" s="461"/>
      <c r="F14" s="462"/>
      <c r="G14" s="193">
        <v>38068238</v>
      </c>
    </row>
    <row r="15" spans="1:7" ht="40.5" customHeight="1">
      <c r="A15" s="213"/>
      <c r="B15" s="407" t="s">
        <v>308</v>
      </c>
      <c r="C15" s="196"/>
      <c r="D15" s="463" t="s">
        <v>205</v>
      </c>
      <c r="E15" s="463"/>
      <c r="F15" s="212"/>
      <c r="G15" s="192" t="s">
        <v>305</v>
      </c>
    </row>
    <row r="16" spans="1:7" ht="39.75" customHeight="1">
      <c r="A16" s="194" t="s">
        <v>307</v>
      </c>
      <c r="B16" s="405" t="s">
        <v>384</v>
      </c>
      <c r="C16" s="405" t="s">
        <v>385</v>
      </c>
      <c r="D16" s="405" t="s">
        <v>186</v>
      </c>
      <c r="E16" s="464" t="s">
        <v>386</v>
      </c>
      <c r="F16" s="465"/>
      <c r="G16" s="405" t="s">
        <v>477</v>
      </c>
    </row>
    <row r="17" spans="1:7" ht="45" customHeight="1">
      <c r="A17" s="195"/>
      <c r="B17" s="196" t="s">
        <v>308</v>
      </c>
      <c r="C17" s="407" t="s">
        <v>309</v>
      </c>
      <c r="D17" s="191" t="s">
        <v>310</v>
      </c>
      <c r="E17" s="454" t="s">
        <v>311</v>
      </c>
      <c r="F17" s="454"/>
      <c r="G17" s="407" t="s">
        <v>312</v>
      </c>
    </row>
    <row r="18" spans="1:7" ht="51" customHeight="1">
      <c r="A18" s="2" t="s">
        <v>172</v>
      </c>
      <c r="B18" s="9" t="s">
        <v>210</v>
      </c>
      <c r="C18" s="95">
        <f>E18+G18</f>
        <v>206273</v>
      </c>
      <c r="D18" s="9" t="s">
        <v>43</v>
      </c>
      <c r="E18" s="95">
        <f>109632+100000-3359</f>
        <v>206273</v>
      </c>
      <c r="F18" s="9" t="s">
        <v>44</v>
      </c>
      <c r="G18" s="95">
        <v>0</v>
      </c>
    </row>
    <row r="19" spans="1:7" ht="15.75">
      <c r="A19" s="2" t="s">
        <v>9</v>
      </c>
      <c r="B19" s="436" t="s">
        <v>209</v>
      </c>
      <c r="C19" s="436"/>
      <c r="D19" s="436"/>
      <c r="E19" s="436"/>
      <c r="F19" s="436"/>
      <c r="G19" s="436"/>
    </row>
    <row r="20" spans="1:7" ht="16.5" customHeight="1">
      <c r="A20" s="2"/>
      <c r="B20" s="436" t="s">
        <v>101</v>
      </c>
      <c r="C20" s="436"/>
      <c r="D20" s="436"/>
      <c r="E20" s="436"/>
      <c r="F20" s="436"/>
      <c r="G20" s="436"/>
    </row>
    <row r="21" spans="1:7" ht="17.25" customHeight="1">
      <c r="A21" s="2"/>
      <c r="B21" s="436" t="s">
        <v>99</v>
      </c>
      <c r="C21" s="436"/>
      <c r="D21" s="436"/>
      <c r="E21" s="436"/>
      <c r="F21" s="436"/>
      <c r="G21" s="436"/>
    </row>
    <row r="22" spans="1:7" ht="17.25" customHeight="1">
      <c r="A22" s="2"/>
      <c r="B22" s="436" t="s">
        <v>590</v>
      </c>
      <c r="C22" s="436"/>
      <c r="D22" s="436"/>
      <c r="E22" s="436"/>
      <c r="F22" s="436"/>
      <c r="G22" s="436"/>
    </row>
    <row r="23" spans="1:7" ht="38.25" customHeight="1">
      <c r="A23" s="2"/>
      <c r="B23" s="436" t="s">
        <v>212</v>
      </c>
      <c r="C23" s="436"/>
      <c r="D23" s="436"/>
      <c r="E23" s="436"/>
      <c r="F23" s="436"/>
      <c r="G23" s="436"/>
    </row>
    <row r="24" spans="1:7" ht="23.25" customHeight="1">
      <c r="A24" s="2"/>
      <c r="B24" s="450" t="s">
        <v>481</v>
      </c>
      <c r="C24" s="450"/>
      <c r="D24" s="450"/>
      <c r="E24" s="450"/>
      <c r="F24" s="450"/>
      <c r="G24" s="450"/>
    </row>
    <row r="25" spans="1:7" ht="49.5" customHeight="1">
      <c r="A25" s="2"/>
      <c r="B25" s="450" t="s">
        <v>591</v>
      </c>
      <c r="C25" s="450"/>
      <c r="D25" s="450"/>
      <c r="E25" s="450"/>
      <c r="F25" s="450"/>
      <c r="G25" s="450"/>
    </row>
    <row r="26" spans="1:7" ht="33.75" customHeight="1">
      <c r="A26" s="2"/>
      <c r="B26" s="450" t="s">
        <v>592</v>
      </c>
      <c r="C26" s="450"/>
      <c r="D26" s="450"/>
      <c r="E26" s="450"/>
      <c r="F26" s="450"/>
      <c r="G26" s="450"/>
    </row>
    <row r="27" spans="1:7" ht="20.25" customHeight="1">
      <c r="A27" s="2"/>
      <c r="B27" s="9"/>
      <c r="C27" s="9"/>
      <c r="D27" s="9"/>
      <c r="E27" s="9"/>
      <c r="F27" s="9"/>
      <c r="G27" s="9"/>
    </row>
    <row r="28" spans="1:7" ht="28.5" customHeight="1">
      <c r="A28" s="2" t="s">
        <v>10</v>
      </c>
      <c r="B28" s="436" t="s">
        <v>41</v>
      </c>
      <c r="C28" s="436"/>
      <c r="D28" s="436"/>
      <c r="E28" s="436"/>
      <c r="F28" s="436"/>
      <c r="G28" s="436"/>
    </row>
    <row r="29" spans="1:7" ht="24" customHeight="1">
      <c r="A29" s="6"/>
      <c r="B29" s="451" t="s">
        <v>234</v>
      </c>
      <c r="C29" s="452"/>
      <c r="D29" s="452"/>
      <c r="E29" s="452"/>
      <c r="F29" s="452"/>
      <c r="G29" s="453"/>
    </row>
    <row r="30" spans="1:7" ht="34.5" customHeight="1">
      <c r="A30" s="6" t="s">
        <v>169</v>
      </c>
      <c r="B30" s="502" t="s">
        <v>387</v>
      </c>
      <c r="C30" s="502"/>
      <c r="D30" s="502"/>
      <c r="E30" s="502"/>
      <c r="F30" s="502"/>
      <c r="G30" s="502"/>
    </row>
    <row r="31" spans="1:7" ht="24" customHeight="1">
      <c r="A31" s="16"/>
      <c r="B31" s="50"/>
      <c r="C31" s="50"/>
      <c r="D31" s="50"/>
      <c r="E31" s="50"/>
      <c r="F31" s="50"/>
      <c r="G31" s="50"/>
    </row>
    <row r="32" spans="1:7" ht="21.75" customHeight="1">
      <c r="A32" s="2" t="s">
        <v>11</v>
      </c>
      <c r="B32" s="436" t="s">
        <v>187</v>
      </c>
      <c r="C32" s="436"/>
      <c r="D32" s="436"/>
      <c r="E32" s="436"/>
      <c r="F32" s="436"/>
      <c r="G32" s="436"/>
    </row>
    <row r="33" spans="1:4" ht="15.75" customHeight="1">
      <c r="A33" s="2" t="s">
        <v>15</v>
      </c>
      <c r="B33" s="443" t="s">
        <v>12</v>
      </c>
      <c r="C33" s="443"/>
      <c r="D33" s="443"/>
    </row>
    <row r="34" ht="15.75">
      <c r="A34" s="3"/>
    </row>
    <row r="35" spans="1:7" ht="15.75">
      <c r="A35" s="6" t="s">
        <v>13</v>
      </c>
      <c r="B35" s="444" t="s">
        <v>14</v>
      </c>
      <c r="C35" s="444"/>
      <c r="D35" s="444"/>
      <c r="E35" s="444"/>
      <c r="F35" s="444"/>
      <c r="G35" s="444"/>
    </row>
    <row r="36" spans="1:7" ht="48" customHeight="1">
      <c r="A36" s="6" t="s">
        <v>169</v>
      </c>
      <c r="B36" s="445" t="s">
        <v>388</v>
      </c>
      <c r="C36" s="446"/>
      <c r="D36" s="446"/>
      <c r="E36" s="446"/>
      <c r="F36" s="446"/>
      <c r="G36" s="447"/>
    </row>
    <row r="37" spans="1:7" ht="34.5" customHeight="1">
      <c r="A37" s="41" t="s">
        <v>170</v>
      </c>
      <c r="B37" s="445" t="s">
        <v>188</v>
      </c>
      <c r="C37" s="446"/>
      <c r="D37" s="446"/>
      <c r="E37" s="446"/>
      <c r="F37" s="446"/>
      <c r="G37" s="447"/>
    </row>
    <row r="38" spans="1:7" ht="18" customHeight="1" hidden="1">
      <c r="A38" s="48" t="s">
        <v>171</v>
      </c>
      <c r="B38" s="445" t="s">
        <v>272</v>
      </c>
      <c r="C38" s="446"/>
      <c r="D38" s="446"/>
      <c r="E38" s="446"/>
      <c r="F38" s="446"/>
      <c r="G38" s="447"/>
    </row>
    <row r="39" spans="1:7" ht="15.75" customHeight="1">
      <c r="A39" s="68"/>
      <c r="B39" s="49"/>
      <c r="C39" s="49"/>
      <c r="D39" s="49"/>
      <c r="E39" s="49"/>
      <c r="F39" s="49"/>
      <c r="G39" s="49"/>
    </row>
    <row r="40" spans="1:7" ht="15.75" customHeight="1">
      <c r="A40" s="508" t="s">
        <v>22</v>
      </c>
      <c r="B40" s="509" t="s">
        <v>16</v>
      </c>
      <c r="C40" s="509"/>
      <c r="D40" s="509"/>
      <c r="E40" s="509"/>
      <c r="F40" s="509"/>
      <c r="G40" s="509"/>
    </row>
    <row r="41" spans="1:2" ht="15.75">
      <c r="A41" s="508"/>
      <c r="B41" s="1" t="s">
        <v>17</v>
      </c>
    </row>
    <row r="42" ht="15.75">
      <c r="A42" s="3"/>
    </row>
    <row r="43" spans="1:5" ht="31.5">
      <c r="A43" s="6" t="s">
        <v>13</v>
      </c>
      <c r="B43" s="6" t="s">
        <v>18</v>
      </c>
      <c r="C43" s="6" t="s">
        <v>19</v>
      </c>
      <c r="D43" s="6" t="s">
        <v>20</v>
      </c>
      <c r="E43" s="6" t="s">
        <v>21</v>
      </c>
    </row>
    <row r="44" spans="1:5" ht="15.75">
      <c r="A44" s="6">
        <v>1</v>
      </c>
      <c r="B44" s="6">
        <v>2</v>
      </c>
      <c r="C44" s="6">
        <v>3</v>
      </c>
      <c r="D44" s="6">
        <v>4</v>
      </c>
      <c r="E44" s="6">
        <v>6</v>
      </c>
    </row>
    <row r="45" spans="1:5" ht="135">
      <c r="A45" s="6" t="s">
        <v>169</v>
      </c>
      <c r="B45" s="12" t="s">
        <v>397</v>
      </c>
      <c r="C45" s="13">
        <v>175632</v>
      </c>
      <c r="D45" s="13">
        <v>0</v>
      </c>
      <c r="E45" s="13">
        <f>C45</f>
        <v>175632</v>
      </c>
    </row>
    <row r="46" spans="1:5" ht="105">
      <c r="A46" s="6" t="s">
        <v>170</v>
      </c>
      <c r="B46" s="12" t="s">
        <v>1</v>
      </c>
      <c r="C46" s="13">
        <f>34000-3359</f>
        <v>30641</v>
      </c>
      <c r="D46" s="13">
        <v>0</v>
      </c>
      <c r="E46" s="13">
        <f>C46+D46</f>
        <v>30641</v>
      </c>
    </row>
    <row r="47" spans="1:5" ht="33.75" customHeight="1" hidden="1">
      <c r="A47" s="6" t="s">
        <v>171</v>
      </c>
      <c r="B47" s="12" t="s">
        <v>271</v>
      </c>
      <c r="C47" s="13">
        <v>2000</v>
      </c>
      <c r="D47" s="13">
        <v>63000</v>
      </c>
      <c r="E47" s="13">
        <f>C47+D47</f>
        <v>65000</v>
      </c>
    </row>
    <row r="48" spans="1:5" ht="15.75">
      <c r="A48" s="434" t="s">
        <v>21</v>
      </c>
      <c r="B48" s="434"/>
      <c r="C48" s="14">
        <f>C45+C46</f>
        <v>206273</v>
      </c>
      <c r="D48" s="14">
        <f>D45+D46</f>
        <v>0</v>
      </c>
      <c r="E48" s="14">
        <f>E45+E46</f>
        <v>206273</v>
      </c>
    </row>
    <row r="49" ht="15.75">
      <c r="A49" s="3"/>
    </row>
    <row r="50" spans="1:7" ht="15.75">
      <c r="A50" s="435" t="s">
        <v>194</v>
      </c>
      <c r="B50" s="436" t="s">
        <v>23</v>
      </c>
      <c r="C50" s="436"/>
      <c r="D50" s="436"/>
      <c r="E50" s="436"/>
      <c r="F50" s="436"/>
      <c r="G50" s="436"/>
    </row>
    <row r="51" spans="1:2" ht="15.75">
      <c r="A51" s="435"/>
      <c r="B51" s="1" t="s">
        <v>17</v>
      </c>
    </row>
    <row r="52" ht="15.75">
      <c r="A52" s="3"/>
    </row>
    <row r="53" spans="2:5" ht="31.5">
      <c r="B53" s="6" t="s">
        <v>193</v>
      </c>
      <c r="C53" s="6" t="s">
        <v>19</v>
      </c>
      <c r="D53" s="6" t="s">
        <v>20</v>
      </c>
      <c r="E53" s="6" t="s">
        <v>21</v>
      </c>
    </row>
    <row r="54" spans="2:5" ht="15.75">
      <c r="B54" s="6">
        <v>1</v>
      </c>
      <c r="C54" s="6">
        <v>2</v>
      </c>
      <c r="D54" s="6">
        <v>3</v>
      </c>
      <c r="E54" s="6">
        <v>4</v>
      </c>
    </row>
    <row r="55" spans="2:5" ht="126.75" customHeight="1">
      <c r="B55" s="146" t="s">
        <v>476</v>
      </c>
      <c r="C55" s="541">
        <f>C48</f>
        <v>206273</v>
      </c>
      <c r="D55" s="541">
        <f>D48</f>
        <v>0</v>
      </c>
      <c r="E55" s="541">
        <f>E48</f>
        <v>206273</v>
      </c>
    </row>
    <row r="56" spans="2:5" ht="144.75" customHeight="1">
      <c r="B56" s="146" t="s">
        <v>398</v>
      </c>
      <c r="C56" s="542"/>
      <c r="D56" s="542"/>
      <c r="E56" s="542"/>
    </row>
    <row r="57" spans="2:5" ht="15.75">
      <c r="B57" s="17" t="s">
        <v>21</v>
      </c>
      <c r="C57" s="25">
        <f>C55</f>
        <v>206273</v>
      </c>
      <c r="D57" s="25">
        <f>D55</f>
        <v>0</v>
      </c>
      <c r="E57" s="117">
        <f>C57+D57</f>
        <v>206273</v>
      </c>
    </row>
    <row r="58" ht="15.75">
      <c r="A58" s="3"/>
    </row>
    <row r="59" ht="15.75">
      <c r="A59" s="3"/>
    </row>
    <row r="60" spans="1:7" ht="15.75">
      <c r="A60" s="2" t="s">
        <v>47</v>
      </c>
      <c r="B60" s="436" t="s">
        <v>195</v>
      </c>
      <c r="C60" s="436"/>
      <c r="D60" s="436"/>
      <c r="E60" s="436"/>
      <c r="F60" s="436"/>
      <c r="G60" s="436"/>
    </row>
    <row r="61" ht="15.75">
      <c r="A61" s="3"/>
    </row>
    <row r="62" spans="1:7" ht="46.5" customHeight="1">
      <c r="A62" s="6" t="s">
        <v>13</v>
      </c>
      <c r="B62" s="6" t="s">
        <v>196</v>
      </c>
      <c r="C62" s="6" t="s">
        <v>197</v>
      </c>
      <c r="D62" s="6" t="s">
        <v>198</v>
      </c>
      <c r="E62" s="6" t="s">
        <v>19</v>
      </c>
      <c r="F62" s="6" t="s">
        <v>20</v>
      </c>
      <c r="G62" s="6" t="s">
        <v>21</v>
      </c>
    </row>
    <row r="63" spans="1:7" ht="15.75">
      <c r="A63" s="6">
        <v>1</v>
      </c>
      <c r="B63" s="6">
        <v>2</v>
      </c>
      <c r="C63" s="6">
        <v>3</v>
      </c>
      <c r="D63" s="6">
        <v>4</v>
      </c>
      <c r="E63" s="6">
        <v>5</v>
      </c>
      <c r="F63" s="6">
        <v>6</v>
      </c>
      <c r="G63" s="6">
        <v>7</v>
      </c>
    </row>
    <row r="64" spans="1:7" ht="46.5" customHeight="1">
      <c r="A64" s="6"/>
      <c r="B64" s="437" t="s">
        <v>388</v>
      </c>
      <c r="C64" s="438"/>
      <c r="D64" s="438"/>
      <c r="E64" s="438"/>
      <c r="F64" s="438"/>
      <c r="G64" s="439"/>
    </row>
    <row r="65" spans="1:7" ht="15.75">
      <c r="A65" s="6">
        <v>1</v>
      </c>
      <c r="B65" s="52" t="s">
        <v>199</v>
      </c>
      <c r="C65" s="98"/>
      <c r="D65" s="98"/>
      <c r="E65" s="98"/>
      <c r="F65" s="98"/>
      <c r="G65" s="98"/>
    </row>
    <row r="66" spans="1:7" ht="45.75" customHeight="1">
      <c r="A66" s="6"/>
      <c r="B66" s="7" t="s">
        <v>48</v>
      </c>
      <c r="C66" s="98" t="s">
        <v>79</v>
      </c>
      <c r="D66" s="44" t="s">
        <v>301</v>
      </c>
      <c r="E66" s="13">
        <f>C45</f>
        <v>175632</v>
      </c>
      <c r="F66" s="47" t="s">
        <v>109</v>
      </c>
      <c r="G66" s="119">
        <f>E66</f>
        <v>175632</v>
      </c>
    </row>
    <row r="67" spans="1:7" ht="15.75">
      <c r="A67" s="6">
        <v>2</v>
      </c>
      <c r="B67" s="17" t="s">
        <v>200</v>
      </c>
      <c r="C67" s="122"/>
      <c r="D67" s="118"/>
      <c r="E67" s="98" t="s">
        <v>28</v>
      </c>
      <c r="F67" s="98"/>
      <c r="G67" s="119" t="str">
        <f>E67</f>
        <v> </v>
      </c>
    </row>
    <row r="68" spans="1:7" ht="45" customHeight="1">
      <c r="A68" s="6"/>
      <c r="B68" s="99" t="s">
        <v>130</v>
      </c>
      <c r="C68" s="98" t="s">
        <v>66</v>
      </c>
      <c r="D68" s="118" t="s">
        <v>69</v>
      </c>
      <c r="E68" s="138">
        <v>400</v>
      </c>
      <c r="F68" s="80" t="s">
        <v>109</v>
      </c>
      <c r="G68" s="119">
        <f>E68</f>
        <v>400</v>
      </c>
    </row>
    <row r="69" spans="1:7" ht="17.25" customHeight="1">
      <c r="A69" s="6">
        <v>3</v>
      </c>
      <c r="B69" s="17" t="s">
        <v>201</v>
      </c>
      <c r="C69" s="122"/>
      <c r="D69" s="137"/>
      <c r="E69" s="98" t="s">
        <v>28</v>
      </c>
      <c r="F69" s="121"/>
      <c r="G69" s="119"/>
    </row>
    <row r="70" spans="1:7" ht="33.75" customHeight="1">
      <c r="A70" s="6"/>
      <c r="B70" s="44" t="s">
        <v>192</v>
      </c>
      <c r="C70" s="98" t="s">
        <v>79</v>
      </c>
      <c r="D70" s="118" t="s">
        <v>70</v>
      </c>
      <c r="E70" s="139">
        <f>E66/E68</f>
        <v>439.08</v>
      </c>
      <c r="F70" s="39" t="s">
        <v>109</v>
      </c>
      <c r="G70" s="140">
        <f>E70</f>
        <v>439.08</v>
      </c>
    </row>
    <row r="71" spans="1:7" ht="18" customHeight="1">
      <c r="A71" s="6">
        <v>4</v>
      </c>
      <c r="B71" s="17" t="s">
        <v>202</v>
      </c>
      <c r="C71" s="120"/>
      <c r="D71" s="118"/>
      <c r="E71" s="98" t="s">
        <v>28</v>
      </c>
      <c r="F71" s="121"/>
      <c r="G71" s="119" t="str">
        <f>E71</f>
        <v> </v>
      </c>
    </row>
    <row r="72" spans="1:7" ht="32.25" customHeight="1">
      <c r="A72" s="6"/>
      <c r="B72" s="122" t="s">
        <v>55</v>
      </c>
      <c r="C72" s="123" t="s">
        <v>71</v>
      </c>
      <c r="D72" s="124" t="s">
        <v>72</v>
      </c>
      <c r="E72" s="125">
        <v>100</v>
      </c>
      <c r="F72" s="39" t="s">
        <v>109</v>
      </c>
      <c r="G72" s="119">
        <f>E72</f>
        <v>100</v>
      </c>
    </row>
    <row r="73" spans="1:7" ht="35.25" customHeight="1">
      <c r="A73" s="6"/>
      <c r="B73" s="437" t="s">
        <v>188</v>
      </c>
      <c r="C73" s="438"/>
      <c r="D73" s="438"/>
      <c r="E73" s="438"/>
      <c r="F73" s="438"/>
      <c r="G73" s="439"/>
    </row>
    <row r="74" spans="1:7" ht="16.5" customHeight="1">
      <c r="A74" s="6">
        <v>1</v>
      </c>
      <c r="B74" s="55" t="s">
        <v>199</v>
      </c>
      <c r="C74" s="123"/>
      <c r="D74" s="124"/>
      <c r="E74" s="98"/>
      <c r="F74" s="98"/>
      <c r="G74" s="98"/>
    </row>
    <row r="75" spans="1:7" ht="16.5" customHeight="1">
      <c r="A75" s="6"/>
      <c r="B75" s="122" t="s">
        <v>48</v>
      </c>
      <c r="C75" s="123" t="s">
        <v>79</v>
      </c>
      <c r="D75" s="124" t="s">
        <v>61</v>
      </c>
      <c r="E75" s="121">
        <f>C46</f>
        <v>30641</v>
      </c>
      <c r="F75" s="47" t="s">
        <v>109</v>
      </c>
      <c r="G75" s="119">
        <f>E75</f>
        <v>30641</v>
      </c>
    </row>
    <row r="76" spans="1:7" ht="16.5" customHeight="1">
      <c r="A76" s="6">
        <v>2</v>
      </c>
      <c r="B76" s="55" t="s">
        <v>200</v>
      </c>
      <c r="C76" s="123"/>
      <c r="D76" s="124"/>
      <c r="E76" s="125"/>
      <c r="F76" s="98"/>
      <c r="G76" s="119"/>
    </row>
    <row r="77" spans="1:7" ht="36.75" customHeight="1">
      <c r="A77" s="6"/>
      <c r="B77" s="124" t="s">
        <v>190</v>
      </c>
      <c r="C77" s="123" t="s">
        <v>66</v>
      </c>
      <c r="D77" s="124" t="s">
        <v>69</v>
      </c>
      <c r="E77" s="125">
        <v>12</v>
      </c>
      <c r="F77" s="41" t="s">
        <v>109</v>
      </c>
      <c r="G77" s="119">
        <f>E77</f>
        <v>12</v>
      </c>
    </row>
    <row r="78" spans="1:7" ht="14.25" customHeight="1">
      <c r="A78" s="6">
        <v>3</v>
      </c>
      <c r="B78" s="126" t="s">
        <v>201</v>
      </c>
      <c r="C78" s="123"/>
      <c r="D78" s="124"/>
      <c r="E78" s="125"/>
      <c r="F78" s="121"/>
      <c r="G78" s="119"/>
    </row>
    <row r="79" spans="1:7" ht="16.5" customHeight="1">
      <c r="A79" s="6"/>
      <c r="B79" s="124" t="s">
        <v>191</v>
      </c>
      <c r="C79" s="123" t="s">
        <v>79</v>
      </c>
      <c r="D79" s="124" t="s">
        <v>70</v>
      </c>
      <c r="E79" s="182">
        <f>E75/E77</f>
        <v>2553.4166666666665</v>
      </c>
      <c r="F79" s="39" t="s">
        <v>109</v>
      </c>
      <c r="G79" s="140">
        <f>E79</f>
        <v>2553.4166666666665</v>
      </c>
    </row>
    <row r="80" spans="1:7" ht="18" customHeight="1">
      <c r="A80" s="6">
        <v>4</v>
      </c>
      <c r="B80" s="126" t="s">
        <v>202</v>
      </c>
      <c r="C80" s="123"/>
      <c r="D80" s="124"/>
      <c r="E80" s="125"/>
      <c r="F80" s="121"/>
      <c r="G80" s="119"/>
    </row>
    <row r="81" spans="1:7" ht="32.25" customHeight="1">
      <c r="A81" s="6"/>
      <c r="B81" s="124" t="s">
        <v>55</v>
      </c>
      <c r="C81" s="123" t="s">
        <v>71</v>
      </c>
      <c r="D81" s="124" t="s">
        <v>72</v>
      </c>
      <c r="E81" s="125">
        <v>100</v>
      </c>
      <c r="F81" s="39" t="s">
        <v>109</v>
      </c>
      <c r="G81" s="119">
        <f>E81</f>
        <v>100</v>
      </c>
    </row>
    <row r="82" spans="1:7" ht="15.75" hidden="1">
      <c r="A82" s="6"/>
      <c r="B82" s="437" t="s">
        <v>272</v>
      </c>
      <c r="C82" s="438"/>
      <c r="D82" s="438"/>
      <c r="E82" s="438"/>
      <c r="F82" s="438"/>
      <c r="G82" s="439"/>
    </row>
    <row r="83" spans="1:7" ht="15.75" hidden="1">
      <c r="A83" s="6">
        <v>1</v>
      </c>
      <c r="B83" s="17" t="s">
        <v>199</v>
      </c>
      <c r="C83" s="6"/>
      <c r="D83" s="6"/>
      <c r="E83" s="6"/>
      <c r="F83" s="6"/>
      <c r="G83" s="6"/>
    </row>
    <row r="84" spans="1:7" ht="47.25" hidden="1">
      <c r="A84" s="7"/>
      <c r="B84" s="7" t="s">
        <v>273</v>
      </c>
      <c r="C84" s="6" t="s">
        <v>79</v>
      </c>
      <c r="D84" s="6" t="s">
        <v>100</v>
      </c>
      <c r="E84" s="6">
        <v>2000</v>
      </c>
      <c r="F84" s="13"/>
      <c r="G84" s="90">
        <f>E84+F84</f>
        <v>2000</v>
      </c>
    </row>
    <row r="85" spans="1:7" ht="94.5" hidden="1">
      <c r="A85" s="7"/>
      <c r="B85" s="7" t="s">
        <v>138</v>
      </c>
      <c r="C85" s="6" t="s">
        <v>79</v>
      </c>
      <c r="D85" s="6" t="s">
        <v>100</v>
      </c>
      <c r="E85" s="6"/>
      <c r="F85" s="13">
        <v>63000</v>
      </c>
      <c r="G85" s="90">
        <f>F85</f>
        <v>63000</v>
      </c>
    </row>
    <row r="86" spans="1:7" ht="15.75" hidden="1">
      <c r="A86" s="6">
        <v>2</v>
      </c>
      <c r="B86" s="17" t="s">
        <v>200</v>
      </c>
      <c r="C86" s="28"/>
      <c r="D86" s="28"/>
      <c r="E86" s="6"/>
      <c r="F86" s="13"/>
      <c r="G86" s="90"/>
    </row>
    <row r="87" spans="1:7" ht="47.25" hidden="1">
      <c r="A87" s="7"/>
      <c r="B87" s="7" t="s">
        <v>139</v>
      </c>
      <c r="C87" s="6" t="s">
        <v>66</v>
      </c>
      <c r="D87" s="6" t="s">
        <v>69</v>
      </c>
      <c r="E87" s="6">
        <v>1</v>
      </c>
      <c r="F87" s="13"/>
      <c r="G87" s="90">
        <f>E87+F87</f>
        <v>1</v>
      </c>
    </row>
    <row r="88" spans="1:7" ht="63" hidden="1">
      <c r="A88" s="7"/>
      <c r="B88" s="7" t="s">
        <v>140</v>
      </c>
      <c r="C88" s="6" t="s">
        <v>66</v>
      </c>
      <c r="D88" s="6" t="s">
        <v>69</v>
      </c>
      <c r="E88" s="6"/>
      <c r="F88" s="13">
        <v>3</v>
      </c>
      <c r="G88" s="90">
        <f>F88</f>
        <v>3</v>
      </c>
    </row>
    <row r="89" spans="1:7" ht="15.75" hidden="1">
      <c r="A89" s="6">
        <v>3</v>
      </c>
      <c r="B89" s="17" t="s">
        <v>201</v>
      </c>
      <c r="C89" s="6"/>
      <c r="D89" s="6"/>
      <c r="E89" s="6"/>
      <c r="F89" s="13"/>
      <c r="G89" s="90"/>
    </row>
    <row r="90" spans="1:7" ht="31.5" hidden="1">
      <c r="A90" s="6"/>
      <c r="B90" s="7" t="s">
        <v>141</v>
      </c>
      <c r="C90" s="6" t="s">
        <v>79</v>
      </c>
      <c r="D90" s="6" t="s">
        <v>70</v>
      </c>
      <c r="E90" s="6">
        <f>E84/E87</f>
        <v>2000</v>
      </c>
      <c r="F90" s="13"/>
      <c r="G90" s="90">
        <f>E90+F90</f>
        <v>2000</v>
      </c>
    </row>
    <row r="91" spans="1:7" ht="63" hidden="1">
      <c r="A91" s="6"/>
      <c r="B91" s="7" t="s">
        <v>142</v>
      </c>
      <c r="C91" s="6" t="s">
        <v>79</v>
      </c>
      <c r="D91" s="6" t="s">
        <v>70</v>
      </c>
      <c r="E91" s="6"/>
      <c r="F91" s="13">
        <f>F85/F88</f>
        <v>21000</v>
      </c>
      <c r="G91" s="90">
        <f>F91</f>
        <v>21000</v>
      </c>
    </row>
    <row r="92" spans="1:7" ht="15.75" hidden="1">
      <c r="A92" s="6">
        <v>4</v>
      </c>
      <c r="B92" s="17" t="s">
        <v>202</v>
      </c>
      <c r="C92" s="6"/>
      <c r="D92" s="6"/>
      <c r="E92" s="40"/>
      <c r="F92" s="6"/>
      <c r="G92" s="100"/>
    </row>
    <row r="93" spans="1:7" ht="31.5" hidden="1">
      <c r="A93" s="7"/>
      <c r="B93" s="7" t="s">
        <v>55</v>
      </c>
      <c r="C93" s="6" t="s">
        <v>71</v>
      </c>
      <c r="D93" s="6" t="s">
        <v>72</v>
      </c>
      <c r="E93" s="6">
        <v>100</v>
      </c>
      <c r="F93" s="6">
        <v>100</v>
      </c>
      <c r="G93" s="100">
        <f>F93</f>
        <v>100</v>
      </c>
    </row>
    <row r="94" spans="1:4" ht="15.75">
      <c r="A94" s="3"/>
      <c r="B94" s="58"/>
      <c r="C94" s="59"/>
      <c r="D94" s="63"/>
    </row>
    <row r="95" spans="1:4" ht="15.75">
      <c r="A95" s="3"/>
      <c r="B95" s="58"/>
      <c r="C95" s="59"/>
      <c r="D95" s="63"/>
    </row>
    <row r="96" spans="1:7" ht="15.75" customHeight="1">
      <c r="A96" s="3" t="s">
        <v>73</v>
      </c>
      <c r="B96" s="3"/>
      <c r="C96" s="3"/>
      <c r="D96" s="8"/>
      <c r="E96" s="75"/>
      <c r="F96" s="430" t="s">
        <v>74</v>
      </c>
      <c r="G96" s="430"/>
    </row>
    <row r="97" spans="1:7" ht="15">
      <c r="A97" s="85"/>
      <c r="B97" s="85"/>
      <c r="C97" s="85"/>
      <c r="D97" s="5" t="s">
        <v>203</v>
      </c>
      <c r="E97" s="86"/>
      <c r="F97" s="472" t="s">
        <v>75</v>
      </c>
      <c r="G97" s="473"/>
    </row>
    <row r="98" spans="1:7" ht="15.75">
      <c r="A98" s="474"/>
      <c r="B98" s="474"/>
      <c r="C98" s="85"/>
      <c r="D98" s="2"/>
      <c r="E98" s="85"/>
      <c r="F98" s="85"/>
      <c r="G98" s="85"/>
    </row>
    <row r="99" spans="1:7" ht="15.75">
      <c r="A99" s="433" t="s">
        <v>204</v>
      </c>
      <c r="B99" s="433"/>
      <c r="C99" s="85"/>
      <c r="E99" s="85"/>
      <c r="F99" s="85"/>
      <c r="G99" s="85"/>
    </row>
    <row r="100" spans="1:7" ht="15.75" customHeight="1">
      <c r="A100" s="3" t="s">
        <v>281</v>
      </c>
      <c r="B100" s="3"/>
      <c r="C100" s="3"/>
      <c r="D100" s="8"/>
      <c r="E100" s="75"/>
      <c r="F100" s="430" t="s">
        <v>76</v>
      </c>
      <c r="G100" s="430"/>
    </row>
    <row r="101" spans="1:7" ht="15.75">
      <c r="A101" s="3" t="s">
        <v>286</v>
      </c>
      <c r="B101" s="3"/>
      <c r="C101" s="85"/>
      <c r="D101" s="5" t="s">
        <v>203</v>
      </c>
      <c r="E101" s="5"/>
      <c r="F101" s="431" t="s">
        <v>75</v>
      </c>
      <c r="G101" s="432"/>
    </row>
    <row r="102" spans="1:7" ht="15.75">
      <c r="A102" s="3"/>
      <c r="B102" s="3"/>
      <c r="C102" s="85"/>
      <c r="D102" s="5"/>
      <c r="E102" s="5"/>
      <c r="F102" s="97"/>
      <c r="G102" s="408"/>
    </row>
    <row r="103" spans="1:7" ht="15.75">
      <c r="A103" s="3"/>
      <c r="B103" s="101"/>
      <c r="C103" s="85"/>
      <c r="D103" s="5"/>
      <c r="E103" s="5"/>
      <c r="F103" s="97"/>
      <c r="G103" s="408"/>
    </row>
    <row r="104" spans="1:7" ht="15.75">
      <c r="A104" s="1"/>
      <c r="B104" s="92" t="s">
        <v>162</v>
      </c>
      <c r="C104" s="2"/>
      <c r="F104" s="475"/>
      <c r="G104" s="475"/>
    </row>
    <row r="105" ht="15">
      <c r="B105" s="23" t="s">
        <v>163</v>
      </c>
    </row>
  </sheetData>
  <sheetProtection/>
  <mergeCells count="49">
    <mergeCell ref="A98:B98"/>
    <mergeCell ref="A99:B99"/>
    <mergeCell ref="F100:G100"/>
    <mergeCell ref="F101:G101"/>
    <mergeCell ref="F104:G104"/>
    <mergeCell ref="B60:G60"/>
    <mergeCell ref="B64:G64"/>
    <mergeCell ref="B73:G73"/>
    <mergeCell ref="B82:G82"/>
    <mergeCell ref="F96:G96"/>
    <mergeCell ref="F97:G97"/>
    <mergeCell ref="A40:A41"/>
    <mergeCell ref="B40:G40"/>
    <mergeCell ref="A48:B48"/>
    <mergeCell ref="A50:A51"/>
    <mergeCell ref="B50:G50"/>
    <mergeCell ref="C55:C56"/>
    <mergeCell ref="D55:D56"/>
    <mergeCell ref="E55:E56"/>
    <mergeCell ref="B32:G32"/>
    <mergeCell ref="B33:D33"/>
    <mergeCell ref="B35:G35"/>
    <mergeCell ref="B36:G36"/>
    <mergeCell ref="B37:G37"/>
    <mergeCell ref="B38:G38"/>
    <mergeCell ref="B24:G24"/>
    <mergeCell ref="B25:G25"/>
    <mergeCell ref="B26:G26"/>
    <mergeCell ref="B28:G28"/>
    <mergeCell ref="B29:G29"/>
    <mergeCell ref="B30:G30"/>
    <mergeCell ref="E17:F17"/>
    <mergeCell ref="B19:G19"/>
    <mergeCell ref="B20:G20"/>
    <mergeCell ref="B21:G21"/>
    <mergeCell ref="B22:G22"/>
    <mergeCell ref="B23:G23"/>
    <mergeCell ref="A10:G10"/>
    <mergeCell ref="D12:F12"/>
    <mergeCell ref="D13:E13"/>
    <mergeCell ref="D14:F14"/>
    <mergeCell ref="D15:E15"/>
    <mergeCell ref="E16:F16"/>
    <mergeCell ref="E1:G1"/>
    <mergeCell ref="E4:G4"/>
    <mergeCell ref="E5:G5"/>
    <mergeCell ref="E6:G6"/>
    <mergeCell ref="E7:G7"/>
    <mergeCell ref="A9:G9"/>
  </mergeCells>
  <printOptions/>
  <pageMargins left="0.1968503937007874" right="0.15748031496062992" top="1.1811023622047245" bottom="0.2755905511811024" header="0.31496062992125984" footer="0.31496062992125984"/>
  <pageSetup fitToHeight="5" fitToWidth="1" horizontalDpi="600" verticalDpi="6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94"/>
  <sheetViews>
    <sheetView zoomScalePageLayoutView="0" workbookViewId="0" topLeftCell="A60">
      <selection activeCell="I75" sqref="I75"/>
    </sheetView>
  </sheetViews>
  <sheetFormatPr defaultColWidth="21.57421875" defaultRowHeight="15"/>
  <cols>
    <col min="1" max="1" width="6.57421875" style="4" customWidth="1"/>
    <col min="2" max="2" width="31.00390625" style="4" customWidth="1"/>
    <col min="3" max="16384" width="21.57421875" style="4" customWidth="1"/>
  </cols>
  <sheetData>
    <row r="1" spans="5:7" ht="77.25" customHeight="1">
      <c r="E1" s="484" t="s">
        <v>34</v>
      </c>
      <c r="F1" s="471"/>
      <c r="G1" s="471"/>
    </row>
    <row r="2" spans="1:5" ht="15.75">
      <c r="A2" s="1"/>
      <c r="E2" s="1"/>
    </row>
    <row r="3" spans="1:5" ht="15.75">
      <c r="A3" s="1"/>
      <c r="E3" s="1" t="s">
        <v>166</v>
      </c>
    </row>
    <row r="4" spans="1:7" ht="15.75" customHeight="1">
      <c r="A4" s="1"/>
      <c r="E4" s="468" t="s">
        <v>216</v>
      </c>
      <c r="F4" s="468"/>
      <c r="G4" s="468"/>
    </row>
    <row r="5" spans="1:7" ht="15.75">
      <c r="A5" s="1"/>
      <c r="B5" s="1"/>
      <c r="E5" s="469" t="s">
        <v>207</v>
      </c>
      <c r="F5" s="469"/>
      <c r="G5" s="469"/>
    </row>
    <row r="6" spans="1:7" ht="15" customHeight="1">
      <c r="A6" s="1"/>
      <c r="E6" s="470" t="s">
        <v>167</v>
      </c>
      <c r="F6" s="470"/>
      <c r="G6" s="470"/>
    </row>
    <row r="7" spans="5:7" ht="15">
      <c r="E7" s="443" t="s">
        <v>94</v>
      </c>
      <c r="F7" s="471"/>
      <c r="G7" s="471"/>
    </row>
    <row r="9" spans="1:7" ht="15.75">
      <c r="A9" s="455" t="s">
        <v>168</v>
      </c>
      <c r="B9" s="455"/>
      <c r="C9" s="455"/>
      <c r="D9" s="455"/>
      <c r="E9" s="455"/>
      <c r="F9" s="455"/>
      <c r="G9" s="455"/>
    </row>
    <row r="10" spans="1:7" ht="15.75">
      <c r="A10" s="455" t="s">
        <v>315</v>
      </c>
      <c r="B10" s="455"/>
      <c r="C10" s="455"/>
      <c r="D10" s="455"/>
      <c r="E10" s="455"/>
      <c r="F10" s="455"/>
      <c r="G10" s="455"/>
    </row>
    <row r="11" spans="1:7" ht="15.75">
      <c r="A11" s="156"/>
      <c r="B11" s="156"/>
      <c r="C11" s="156"/>
      <c r="D11" s="156"/>
      <c r="E11" s="156"/>
      <c r="F11" s="156"/>
      <c r="G11" s="156"/>
    </row>
    <row r="12" spans="1:7" ht="15" customHeight="1">
      <c r="A12" s="214" t="s">
        <v>304</v>
      </c>
      <c r="B12" s="405" t="s">
        <v>478</v>
      </c>
      <c r="C12" s="210"/>
      <c r="D12" s="456" t="s">
        <v>207</v>
      </c>
      <c r="E12" s="457"/>
      <c r="F12" s="458"/>
      <c r="G12" s="190">
        <v>38068238</v>
      </c>
    </row>
    <row r="13" spans="2:7" ht="34.5" customHeight="1">
      <c r="B13" s="407" t="s">
        <v>308</v>
      </c>
      <c r="C13" s="196"/>
      <c r="D13" s="459" t="s">
        <v>167</v>
      </c>
      <c r="E13" s="459"/>
      <c r="F13" s="212"/>
      <c r="G13" s="192" t="s">
        <v>305</v>
      </c>
    </row>
    <row r="14" spans="1:7" ht="15" customHeight="1">
      <c r="A14" s="213" t="s">
        <v>306</v>
      </c>
      <c r="B14" s="405" t="s">
        <v>479</v>
      </c>
      <c r="C14" s="211"/>
      <c r="D14" s="460" t="s">
        <v>207</v>
      </c>
      <c r="E14" s="461"/>
      <c r="F14" s="462"/>
      <c r="G14" s="193">
        <v>38068238</v>
      </c>
    </row>
    <row r="15" spans="1:7" ht="36.75" customHeight="1">
      <c r="A15" s="213"/>
      <c r="B15" s="407" t="s">
        <v>308</v>
      </c>
      <c r="C15" s="196"/>
      <c r="D15" s="463" t="s">
        <v>205</v>
      </c>
      <c r="E15" s="463"/>
      <c r="F15" s="212"/>
      <c r="G15" s="192" t="s">
        <v>305</v>
      </c>
    </row>
    <row r="16" spans="1:7" ht="39.75" customHeight="1">
      <c r="A16" s="194" t="s">
        <v>307</v>
      </c>
      <c r="B16" s="405" t="s">
        <v>389</v>
      </c>
      <c r="C16" s="405" t="s">
        <v>390</v>
      </c>
      <c r="D16" s="405" t="s">
        <v>186</v>
      </c>
      <c r="E16" s="464" t="s">
        <v>391</v>
      </c>
      <c r="F16" s="465"/>
      <c r="G16" s="405" t="s">
        <v>477</v>
      </c>
    </row>
    <row r="17" spans="1:7" ht="45">
      <c r="A17" s="195"/>
      <c r="B17" s="196" t="s">
        <v>308</v>
      </c>
      <c r="C17" s="407" t="s">
        <v>309</v>
      </c>
      <c r="D17" s="191" t="s">
        <v>310</v>
      </c>
      <c r="E17" s="454" t="s">
        <v>311</v>
      </c>
      <c r="F17" s="454"/>
      <c r="G17" s="407" t="s">
        <v>312</v>
      </c>
    </row>
    <row r="18" spans="1:7" ht="51" customHeight="1">
      <c r="A18" s="2" t="s">
        <v>172</v>
      </c>
      <c r="B18" s="9" t="s">
        <v>210</v>
      </c>
      <c r="C18" s="95">
        <f>E18+G18</f>
        <v>6307538</v>
      </c>
      <c r="D18" s="9" t="s">
        <v>43</v>
      </c>
      <c r="E18" s="95">
        <f>6126187+50000</f>
        <v>6176187</v>
      </c>
      <c r="F18" s="9" t="s">
        <v>44</v>
      </c>
      <c r="G18" s="95">
        <v>131351</v>
      </c>
    </row>
    <row r="19" spans="1:7" ht="15.75">
      <c r="A19" s="2" t="s">
        <v>9</v>
      </c>
      <c r="B19" s="436" t="s">
        <v>209</v>
      </c>
      <c r="C19" s="436"/>
      <c r="D19" s="436"/>
      <c r="E19" s="436"/>
      <c r="F19" s="436"/>
      <c r="G19" s="436"/>
    </row>
    <row r="20" spans="1:7" ht="21" customHeight="1">
      <c r="A20" s="2"/>
      <c r="B20" s="436" t="s">
        <v>211</v>
      </c>
      <c r="C20" s="436"/>
      <c r="D20" s="436"/>
      <c r="E20" s="436"/>
      <c r="F20" s="436"/>
      <c r="G20" s="436"/>
    </row>
    <row r="21" spans="1:7" ht="18.75" customHeight="1">
      <c r="A21" s="2"/>
      <c r="B21" s="436" t="s">
        <v>213</v>
      </c>
      <c r="C21" s="436"/>
      <c r="D21" s="436"/>
      <c r="E21" s="436"/>
      <c r="F21" s="436"/>
      <c r="G21" s="436"/>
    </row>
    <row r="22" spans="1:7" ht="18.75" customHeight="1">
      <c r="A22" s="2"/>
      <c r="B22" s="436" t="s">
        <v>316</v>
      </c>
      <c r="C22" s="436"/>
      <c r="D22" s="436"/>
      <c r="E22" s="436"/>
      <c r="F22" s="436"/>
      <c r="G22" s="436"/>
    </row>
    <row r="23" spans="1:7" ht="32.25" customHeight="1">
      <c r="A23" s="2"/>
      <c r="B23" s="436" t="s">
        <v>144</v>
      </c>
      <c r="C23" s="436"/>
      <c r="D23" s="436"/>
      <c r="E23" s="436"/>
      <c r="F23" s="436"/>
      <c r="G23" s="436"/>
    </row>
    <row r="24" spans="1:7" ht="20.25" customHeight="1">
      <c r="A24" s="2"/>
      <c r="B24" s="450" t="s">
        <v>395</v>
      </c>
      <c r="C24" s="450"/>
      <c r="D24" s="450"/>
      <c r="E24" s="450"/>
      <c r="F24" s="450"/>
      <c r="G24" s="450"/>
    </row>
    <row r="25" spans="1:7" ht="35.25" customHeight="1">
      <c r="A25" s="2"/>
      <c r="B25" s="450" t="s">
        <v>40</v>
      </c>
      <c r="C25" s="450"/>
      <c r="D25" s="450"/>
      <c r="E25" s="450"/>
      <c r="F25" s="450"/>
      <c r="G25" s="450"/>
    </row>
    <row r="26" spans="1:7" ht="33.75" customHeight="1">
      <c r="A26" s="2"/>
      <c r="B26" s="9" t="s">
        <v>491</v>
      </c>
      <c r="C26" s="9"/>
      <c r="D26" s="9"/>
      <c r="E26" s="9"/>
      <c r="F26" s="9"/>
      <c r="G26" s="9"/>
    </row>
    <row r="27" spans="1:7" ht="29.25" customHeight="1">
      <c r="A27" s="2" t="s">
        <v>10</v>
      </c>
      <c r="B27" s="436" t="s">
        <v>41</v>
      </c>
      <c r="C27" s="436"/>
      <c r="D27" s="436"/>
      <c r="E27" s="436"/>
      <c r="F27" s="436"/>
      <c r="G27" s="436"/>
    </row>
    <row r="28" spans="1:7" ht="29.25" customHeight="1">
      <c r="A28" s="6"/>
      <c r="B28" s="451" t="s">
        <v>234</v>
      </c>
      <c r="C28" s="452"/>
      <c r="D28" s="452"/>
      <c r="E28" s="452"/>
      <c r="F28" s="452"/>
      <c r="G28" s="453"/>
    </row>
    <row r="29" spans="1:7" ht="32.25" customHeight="1">
      <c r="A29" s="6" t="s">
        <v>169</v>
      </c>
      <c r="B29" s="502" t="s">
        <v>392</v>
      </c>
      <c r="C29" s="502"/>
      <c r="D29" s="502"/>
      <c r="E29" s="502"/>
      <c r="F29" s="502"/>
      <c r="G29" s="502"/>
    </row>
    <row r="30" spans="1:7" ht="44.25" customHeight="1">
      <c r="A30" s="2" t="s">
        <v>11</v>
      </c>
      <c r="B30" s="436" t="s">
        <v>82</v>
      </c>
      <c r="C30" s="436"/>
      <c r="D30" s="436"/>
      <c r="E30" s="436"/>
      <c r="F30" s="436"/>
      <c r="G30" s="436"/>
    </row>
    <row r="31" spans="1:4" ht="31.5" customHeight="1">
      <c r="A31" s="2" t="s">
        <v>15</v>
      </c>
      <c r="B31" s="443" t="s">
        <v>12</v>
      </c>
      <c r="C31" s="443"/>
      <c r="D31" s="443"/>
    </row>
    <row r="32" ht="15.75">
      <c r="A32" s="3"/>
    </row>
    <row r="33" spans="1:7" ht="15.75">
      <c r="A33" s="6" t="s">
        <v>13</v>
      </c>
      <c r="B33" s="444" t="s">
        <v>14</v>
      </c>
      <c r="C33" s="444"/>
      <c r="D33" s="444"/>
      <c r="E33" s="444"/>
      <c r="F33" s="444"/>
      <c r="G33" s="444"/>
    </row>
    <row r="34" spans="1:7" ht="34.5" customHeight="1">
      <c r="A34" s="6" t="s">
        <v>169</v>
      </c>
      <c r="B34" s="543" t="s">
        <v>393</v>
      </c>
      <c r="C34" s="543"/>
      <c r="D34" s="543"/>
      <c r="E34" s="543"/>
      <c r="F34" s="543"/>
      <c r="G34" s="543"/>
    </row>
    <row r="35" spans="1:7" s="419" customFormat="1" ht="34.5" customHeight="1">
      <c r="A35" s="44" t="s">
        <v>170</v>
      </c>
      <c r="B35" s="502" t="s">
        <v>696</v>
      </c>
      <c r="C35" s="502"/>
      <c r="D35" s="502"/>
      <c r="E35" s="502"/>
      <c r="F35" s="502"/>
      <c r="G35" s="502"/>
    </row>
    <row r="36" spans="1:7" s="419" customFormat="1" ht="16.5" customHeight="1">
      <c r="A36" s="50"/>
      <c r="B36" s="50"/>
      <c r="C36" s="50"/>
      <c r="D36" s="50"/>
      <c r="E36" s="50"/>
      <c r="F36" s="50"/>
      <c r="G36" s="50"/>
    </row>
    <row r="37" spans="1:7" ht="15.75" customHeight="1">
      <c r="A37" s="508" t="s">
        <v>22</v>
      </c>
      <c r="B37" s="509" t="s">
        <v>16</v>
      </c>
      <c r="C37" s="509"/>
      <c r="D37" s="509"/>
      <c r="E37" s="509"/>
      <c r="F37" s="509"/>
      <c r="G37" s="509"/>
    </row>
    <row r="38" spans="1:2" ht="15.75">
      <c r="A38" s="508"/>
      <c r="B38" s="1" t="s">
        <v>17</v>
      </c>
    </row>
    <row r="39" ht="15.75">
      <c r="A39" s="3"/>
    </row>
    <row r="40" spans="1:5" ht="31.5">
      <c r="A40" s="6" t="s">
        <v>13</v>
      </c>
      <c r="B40" s="6" t="s">
        <v>18</v>
      </c>
      <c r="C40" s="6" t="s">
        <v>19</v>
      </c>
      <c r="D40" s="6" t="s">
        <v>20</v>
      </c>
      <c r="E40" s="6" t="s">
        <v>21</v>
      </c>
    </row>
    <row r="41" spans="1:5" ht="15.75">
      <c r="A41" s="6">
        <v>1</v>
      </c>
      <c r="B41" s="6">
        <v>2</v>
      </c>
      <c r="C41" s="6">
        <v>3</v>
      </c>
      <c r="D41" s="6">
        <v>4</v>
      </c>
      <c r="E41" s="6">
        <v>6</v>
      </c>
    </row>
    <row r="42" spans="1:5" ht="80.25" customHeight="1">
      <c r="A42" s="6" t="s">
        <v>169</v>
      </c>
      <c r="B42" s="34" t="s">
        <v>2</v>
      </c>
      <c r="C42" s="13">
        <f>E18</f>
        <v>6176187</v>
      </c>
      <c r="D42" s="81"/>
      <c r="E42" s="81">
        <f>C42+D42</f>
        <v>6176187</v>
      </c>
    </row>
    <row r="43" spans="1:5" ht="95.25" customHeight="1">
      <c r="A43" s="6"/>
      <c r="B43" s="34" t="s">
        <v>695</v>
      </c>
      <c r="C43" s="13"/>
      <c r="D43" s="81">
        <f>G18</f>
        <v>131351</v>
      </c>
      <c r="E43" s="81">
        <f>C43+D43</f>
        <v>131351</v>
      </c>
    </row>
    <row r="44" spans="1:5" ht="15.75">
      <c r="A44" s="434" t="s">
        <v>21</v>
      </c>
      <c r="B44" s="434"/>
      <c r="C44" s="14">
        <f>C42+C43</f>
        <v>6176187</v>
      </c>
      <c r="D44" s="14">
        <f>D42+D43</f>
        <v>131351</v>
      </c>
      <c r="E44" s="14">
        <f>E42+E43</f>
        <v>6307538</v>
      </c>
    </row>
    <row r="45" ht="15.75">
      <c r="A45" s="3"/>
    </row>
    <row r="46" ht="15.75">
      <c r="A46" s="3"/>
    </row>
    <row r="47" spans="1:7" ht="15.75">
      <c r="A47" s="435" t="s">
        <v>194</v>
      </c>
      <c r="B47" s="436" t="s">
        <v>23</v>
      </c>
      <c r="C47" s="436"/>
      <c r="D47" s="436"/>
      <c r="E47" s="436"/>
      <c r="F47" s="436"/>
      <c r="G47" s="436"/>
    </row>
    <row r="48" spans="1:2" ht="15.75">
      <c r="A48" s="435"/>
      <c r="B48" s="1" t="s">
        <v>17</v>
      </c>
    </row>
    <row r="49" ht="15.75">
      <c r="A49" s="3"/>
    </row>
    <row r="50" ht="15.75">
      <c r="A50" s="3"/>
    </row>
    <row r="51" spans="2:5" ht="31.5">
      <c r="B51" s="6" t="s">
        <v>193</v>
      </c>
      <c r="C51" s="6" t="s">
        <v>19</v>
      </c>
      <c r="D51" s="6" t="s">
        <v>20</v>
      </c>
      <c r="E51" s="6" t="s">
        <v>21</v>
      </c>
    </row>
    <row r="52" spans="2:5" ht="15.75">
      <c r="B52" s="6">
        <v>1</v>
      </c>
      <c r="C52" s="6">
        <v>2</v>
      </c>
      <c r="D52" s="6">
        <v>3</v>
      </c>
      <c r="E52" s="6">
        <v>4</v>
      </c>
    </row>
    <row r="53" spans="2:5" ht="17.25" customHeight="1">
      <c r="B53" s="35" t="s">
        <v>109</v>
      </c>
      <c r="C53" s="154" t="s">
        <v>109</v>
      </c>
      <c r="D53" s="134" t="s">
        <v>109</v>
      </c>
      <c r="E53" s="134" t="s">
        <v>109</v>
      </c>
    </row>
    <row r="54" spans="2:5" ht="15.75">
      <c r="B54" s="17" t="s">
        <v>21</v>
      </c>
      <c r="C54" s="155" t="s">
        <v>109</v>
      </c>
      <c r="D54" s="14" t="str">
        <f>D53</f>
        <v>-</v>
      </c>
      <c r="E54" s="14" t="str">
        <f>E53</f>
        <v>-</v>
      </c>
    </row>
    <row r="55" ht="15.75">
      <c r="A55" s="3"/>
    </row>
    <row r="56" ht="15.75">
      <c r="A56" s="3"/>
    </row>
    <row r="57" spans="1:7" ht="15.75">
      <c r="A57" s="2" t="s">
        <v>47</v>
      </c>
      <c r="B57" s="436" t="s">
        <v>195</v>
      </c>
      <c r="C57" s="436"/>
      <c r="D57" s="436"/>
      <c r="E57" s="436"/>
      <c r="F57" s="436"/>
      <c r="G57" s="436"/>
    </row>
    <row r="58" ht="15.75">
      <c r="A58" s="3"/>
    </row>
    <row r="59" ht="15.75">
      <c r="A59" s="3"/>
    </row>
    <row r="60" spans="1:7" ht="46.5" customHeight="1">
      <c r="A60" s="6" t="s">
        <v>13</v>
      </c>
      <c r="B60" s="6" t="s">
        <v>196</v>
      </c>
      <c r="C60" s="6" t="s">
        <v>197</v>
      </c>
      <c r="D60" s="6" t="s">
        <v>198</v>
      </c>
      <c r="E60" s="6" t="s">
        <v>19</v>
      </c>
      <c r="F60" s="6" t="s">
        <v>20</v>
      </c>
      <c r="G60" s="6" t="s">
        <v>21</v>
      </c>
    </row>
    <row r="61" spans="1:7" ht="15.75">
      <c r="A61" s="6">
        <v>1</v>
      </c>
      <c r="B61" s="6">
        <v>2</v>
      </c>
      <c r="C61" s="6">
        <v>3</v>
      </c>
      <c r="D61" s="6">
        <v>4</v>
      </c>
      <c r="E61" s="6">
        <v>5</v>
      </c>
      <c r="F61" s="6">
        <v>6</v>
      </c>
      <c r="G61" s="6">
        <v>7</v>
      </c>
    </row>
    <row r="62" spans="1:7" ht="33.75" customHeight="1">
      <c r="A62" s="6" t="s">
        <v>169</v>
      </c>
      <c r="B62" s="437" t="s">
        <v>83</v>
      </c>
      <c r="C62" s="544"/>
      <c r="D62" s="544"/>
      <c r="E62" s="544"/>
      <c r="F62" s="544"/>
      <c r="G62" s="545"/>
    </row>
    <row r="63" spans="1:7" ht="15.75">
      <c r="A63" s="6"/>
      <c r="B63" s="72" t="s">
        <v>199</v>
      </c>
      <c r="C63" s="73" t="s">
        <v>28</v>
      </c>
      <c r="D63" s="73" t="s">
        <v>28</v>
      </c>
      <c r="E63" s="6"/>
      <c r="F63" s="6"/>
      <c r="G63" s="6"/>
    </row>
    <row r="64" spans="1:7" ht="32.25" customHeight="1">
      <c r="A64" s="6"/>
      <c r="B64" s="71" t="s">
        <v>48</v>
      </c>
      <c r="C64" s="74" t="s">
        <v>79</v>
      </c>
      <c r="D64" s="73" t="s">
        <v>8</v>
      </c>
      <c r="E64" s="13">
        <f>E18</f>
        <v>6176187</v>
      </c>
      <c r="F64" s="13" t="s">
        <v>109</v>
      </c>
      <c r="G64" s="151">
        <f>E64</f>
        <v>6176187</v>
      </c>
    </row>
    <row r="65" spans="1:7" ht="30">
      <c r="A65" s="6"/>
      <c r="B65" s="71" t="s">
        <v>394</v>
      </c>
      <c r="C65" s="74" t="s">
        <v>64</v>
      </c>
      <c r="D65" s="73" t="s">
        <v>65</v>
      </c>
      <c r="E65" s="113">
        <v>57.5</v>
      </c>
      <c r="F65" s="6" t="s">
        <v>109</v>
      </c>
      <c r="G65" s="88">
        <f aca="true" t="shared" si="0" ref="G65:G72">E65</f>
        <v>57.5</v>
      </c>
    </row>
    <row r="66" spans="1:7" ht="15.75">
      <c r="A66" s="6"/>
      <c r="B66" s="183" t="s">
        <v>322</v>
      </c>
      <c r="C66" s="74" t="s">
        <v>64</v>
      </c>
      <c r="D66" s="73" t="s">
        <v>65</v>
      </c>
      <c r="E66" s="184">
        <v>54</v>
      </c>
      <c r="F66" s="6"/>
      <c r="G66" s="88"/>
    </row>
    <row r="67" spans="1:7" ht="17.25" customHeight="1">
      <c r="A67" s="6"/>
      <c r="B67" s="183" t="s">
        <v>323</v>
      </c>
      <c r="C67" s="74" t="s">
        <v>64</v>
      </c>
      <c r="D67" s="73" t="s">
        <v>65</v>
      </c>
      <c r="E67" s="184">
        <v>3</v>
      </c>
      <c r="F67" s="80"/>
      <c r="G67" s="22">
        <f t="shared" si="0"/>
        <v>3</v>
      </c>
    </row>
    <row r="68" spans="1:7" ht="37.5" customHeight="1">
      <c r="A68" s="6"/>
      <c r="B68" s="71" t="s">
        <v>85</v>
      </c>
      <c r="C68" s="74" t="s">
        <v>66</v>
      </c>
      <c r="D68" s="73" t="s">
        <v>69</v>
      </c>
      <c r="E68" s="82">
        <v>200</v>
      </c>
      <c r="F68" s="39" t="s">
        <v>109</v>
      </c>
      <c r="G68" s="22">
        <f t="shared" si="0"/>
        <v>200</v>
      </c>
    </row>
    <row r="69" spans="1:7" ht="15" customHeight="1">
      <c r="A69" s="6"/>
      <c r="B69" s="72" t="s">
        <v>201</v>
      </c>
      <c r="C69" s="74" t="s">
        <v>28</v>
      </c>
      <c r="D69" s="73" t="s">
        <v>28</v>
      </c>
      <c r="E69" s="82" t="s">
        <v>28</v>
      </c>
      <c r="F69" s="39"/>
      <c r="G69" s="22" t="str">
        <f t="shared" si="0"/>
        <v> </v>
      </c>
    </row>
    <row r="70" spans="1:7" ht="33" customHeight="1">
      <c r="A70" s="6"/>
      <c r="B70" s="71" t="s">
        <v>86</v>
      </c>
      <c r="C70" s="74" t="s">
        <v>79</v>
      </c>
      <c r="D70" s="74" t="s">
        <v>84</v>
      </c>
      <c r="E70" s="82">
        <f>E64/E68</f>
        <v>30880.935</v>
      </c>
      <c r="F70" s="39" t="s">
        <v>109</v>
      </c>
      <c r="G70" s="22">
        <f t="shared" si="0"/>
        <v>30880.935</v>
      </c>
    </row>
    <row r="71" spans="1:7" ht="14.25" customHeight="1">
      <c r="A71" s="6"/>
      <c r="B71" s="72" t="s">
        <v>202</v>
      </c>
      <c r="C71" s="73" t="s">
        <v>28</v>
      </c>
      <c r="D71" s="73" t="s">
        <v>28</v>
      </c>
      <c r="E71" s="144" t="s">
        <v>28</v>
      </c>
      <c r="F71" s="39"/>
      <c r="G71" s="22" t="str">
        <f t="shared" si="0"/>
        <v> </v>
      </c>
    </row>
    <row r="72" spans="1:7" ht="34.5" customHeight="1">
      <c r="A72" s="6"/>
      <c r="B72" s="71" t="s">
        <v>87</v>
      </c>
      <c r="C72" s="73" t="s">
        <v>71</v>
      </c>
      <c r="D72" s="73" t="s">
        <v>72</v>
      </c>
      <c r="E72" s="82">
        <v>100</v>
      </c>
      <c r="F72" s="39" t="s">
        <v>109</v>
      </c>
      <c r="G72" s="22">
        <f t="shared" si="0"/>
        <v>100</v>
      </c>
    </row>
    <row r="73" spans="1:7" ht="18.75" customHeight="1">
      <c r="A73" s="6" t="s">
        <v>170</v>
      </c>
      <c r="B73" s="546" t="s">
        <v>694</v>
      </c>
      <c r="C73" s="546"/>
      <c r="D73" s="546"/>
      <c r="E73" s="546"/>
      <c r="F73" s="546"/>
      <c r="G73" s="547"/>
    </row>
    <row r="74" spans="1:7" ht="18.75" customHeight="1">
      <c r="A74" s="6"/>
      <c r="B74" s="147" t="s">
        <v>199</v>
      </c>
      <c r="C74" s="148"/>
      <c r="D74" s="148"/>
      <c r="E74" s="82"/>
      <c r="F74" s="39"/>
      <c r="G74" s="22"/>
    </row>
    <row r="75" spans="1:7" ht="30" customHeight="1">
      <c r="A75" s="6"/>
      <c r="B75" s="148" t="s">
        <v>57</v>
      </c>
      <c r="C75" s="148" t="s">
        <v>79</v>
      </c>
      <c r="D75" s="153" t="s">
        <v>8</v>
      </c>
      <c r="E75" s="82" t="s">
        <v>109</v>
      </c>
      <c r="F75" s="149">
        <f>D43</f>
        <v>131351</v>
      </c>
      <c r="G75" s="151">
        <f>F75</f>
        <v>131351</v>
      </c>
    </row>
    <row r="76" spans="1:7" ht="17.25" customHeight="1">
      <c r="A76" s="6"/>
      <c r="B76" s="147" t="s">
        <v>200</v>
      </c>
      <c r="C76" s="148"/>
      <c r="D76" s="148"/>
      <c r="E76" s="82"/>
      <c r="F76" s="150"/>
      <c r="G76" s="151"/>
    </row>
    <row r="77" spans="1:7" ht="34.5" customHeight="1">
      <c r="A77" s="6"/>
      <c r="B77" s="148" t="s">
        <v>697</v>
      </c>
      <c r="C77" s="148" t="s">
        <v>66</v>
      </c>
      <c r="D77" s="153" t="s">
        <v>69</v>
      </c>
      <c r="E77" s="82" t="s">
        <v>109</v>
      </c>
      <c r="F77" s="150">
        <v>9</v>
      </c>
      <c r="G77" s="151">
        <f>F77</f>
        <v>9</v>
      </c>
    </row>
    <row r="78" spans="1:7" ht="19.5" customHeight="1">
      <c r="A78" s="6"/>
      <c r="B78" s="147" t="s">
        <v>201</v>
      </c>
      <c r="C78" s="148"/>
      <c r="D78" s="153"/>
      <c r="E78" s="82"/>
      <c r="F78" s="150"/>
      <c r="G78" s="151"/>
    </row>
    <row r="79" spans="1:7" ht="34.5" customHeight="1">
      <c r="A79" s="6"/>
      <c r="B79" s="148" t="s">
        <v>147</v>
      </c>
      <c r="C79" s="148" t="s">
        <v>79</v>
      </c>
      <c r="D79" s="153" t="s">
        <v>70</v>
      </c>
      <c r="E79" s="82" t="s">
        <v>109</v>
      </c>
      <c r="F79" s="149">
        <f>F75/F77</f>
        <v>14594.555555555555</v>
      </c>
      <c r="G79" s="151">
        <f>F79</f>
        <v>14594.555555555555</v>
      </c>
    </row>
    <row r="80" spans="1:7" ht="15.75">
      <c r="A80" s="29"/>
      <c r="B80" s="147" t="s">
        <v>202</v>
      </c>
      <c r="C80" s="148"/>
      <c r="D80" s="153"/>
      <c r="E80" s="36"/>
      <c r="F80" s="150"/>
      <c r="G80" s="152"/>
    </row>
    <row r="81" spans="1:7" ht="15.75">
      <c r="A81" s="29"/>
      <c r="B81" s="148" t="s">
        <v>303</v>
      </c>
      <c r="C81" s="148" t="s">
        <v>71</v>
      </c>
      <c r="D81" s="153" t="s">
        <v>70</v>
      </c>
      <c r="E81" s="36" t="s">
        <v>109</v>
      </c>
      <c r="F81" s="150">
        <v>100</v>
      </c>
      <c r="G81" s="152">
        <f>F81</f>
        <v>100</v>
      </c>
    </row>
    <row r="82" spans="1:4" ht="15.75">
      <c r="A82" s="3"/>
      <c r="B82" s="58"/>
      <c r="C82" s="59"/>
      <c r="D82" s="63"/>
    </row>
    <row r="83" spans="1:4" ht="15.75">
      <c r="A83" s="3"/>
      <c r="B83" s="58"/>
      <c r="C83" s="59"/>
      <c r="D83" s="63"/>
    </row>
    <row r="84" spans="1:4" ht="15.75">
      <c r="A84" s="3"/>
      <c r="B84" s="58"/>
      <c r="C84" s="59"/>
      <c r="D84" s="63"/>
    </row>
    <row r="85" spans="1:7" ht="15.75" customHeight="1">
      <c r="A85" s="18" t="s">
        <v>73</v>
      </c>
      <c r="B85" s="18"/>
      <c r="C85" s="18"/>
      <c r="D85" s="8"/>
      <c r="E85" s="21"/>
      <c r="F85" s="500" t="s">
        <v>74</v>
      </c>
      <c r="G85" s="500"/>
    </row>
    <row r="86" spans="1:7" ht="15">
      <c r="A86" s="19"/>
      <c r="B86" s="19"/>
      <c r="C86" s="19"/>
      <c r="D86" s="5" t="s">
        <v>203</v>
      </c>
      <c r="E86" s="20"/>
      <c r="F86" s="472" t="s">
        <v>75</v>
      </c>
      <c r="G86" s="473"/>
    </row>
    <row r="87" spans="1:7" ht="15.75">
      <c r="A87" s="474"/>
      <c r="B87" s="474"/>
      <c r="C87" s="19"/>
      <c r="D87" s="2"/>
      <c r="E87" s="19"/>
      <c r="F87" s="19"/>
      <c r="G87" s="19"/>
    </row>
    <row r="88" spans="1:7" ht="15.75">
      <c r="A88" s="433" t="s">
        <v>204</v>
      </c>
      <c r="B88" s="433"/>
      <c r="C88" s="19"/>
      <c r="E88" s="19"/>
      <c r="F88" s="19"/>
      <c r="G88" s="19"/>
    </row>
    <row r="89" spans="1:7" ht="15.75" customHeight="1">
      <c r="A89" s="3" t="s">
        <v>281</v>
      </c>
      <c r="B89" s="3"/>
      <c r="C89" s="18"/>
      <c r="D89" s="8"/>
      <c r="E89" s="21"/>
      <c r="F89" s="500" t="s">
        <v>76</v>
      </c>
      <c r="G89" s="500"/>
    </row>
    <row r="90" spans="1:7" ht="15.75">
      <c r="A90" s="3" t="s">
        <v>286</v>
      </c>
      <c r="B90" s="3"/>
      <c r="C90" s="19"/>
      <c r="D90" s="5" t="s">
        <v>203</v>
      </c>
      <c r="E90" s="5"/>
      <c r="F90" s="431" t="s">
        <v>75</v>
      </c>
      <c r="G90" s="432"/>
    </row>
    <row r="91" spans="1:7" ht="15.75">
      <c r="A91" s="3"/>
      <c r="B91" s="3"/>
      <c r="C91" s="19"/>
      <c r="D91" s="5"/>
      <c r="E91" s="5"/>
      <c r="F91" s="97"/>
      <c r="G91" s="408"/>
    </row>
    <row r="92" spans="1:7" ht="15.75">
      <c r="A92" s="3"/>
      <c r="B92" s="101"/>
      <c r="C92" s="19"/>
      <c r="D92" s="5"/>
      <c r="E92" s="5"/>
      <c r="F92" s="97"/>
      <c r="G92" s="408"/>
    </row>
    <row r="93" spans="1:7" ht="15.75">
      <c r="A93" s="1"/>
      <c r="B93" s="92" t="s">
        <v>162</v>
      </c>
      <c r="C93" s="2"/>
      <c r="F93" s="475"/>
      <c r="G93" s="475"/>
    </row>
    <row r="94" ht="15">
      <c r="B94" s="23" t="s">
        <v>163</v>
      </c>
    </row>
  </sheetData>
  <sheetProtection/>
  <mergeCells count="43">
    <mergeCell ref="F93:G93"/>
    <mergeCell ref="F85:G85"/>
    <mergeCell ref="F86:G86"/>
    <mergeCell ref="A87:B87"/>
    <mergeCell ref="A88:B88"/>
    <mergeCell ref="F89:G89"/>
    <mergeCell ref="F90:G90"/>
    <mergeCell ref="A44:B44"/>
    <mergeCell ref="A47:A48"/>
    <mergeCell ref="B47:G47"/>
    <mergeCell ref="B57:G57"/>
    <mergeCell ref="B62:G62"/>
    <mergeCell ref="B73:G73"/>
    <mergeCell ref="B31:D31"/>
    <mergeCell ref="B33:G33"/>
    <mergeCell ref="B34:G34"/>
    <mergeCell ref="A37:A38"/>
    <mergeCell ref="B37:G37"/>
    <mergeCell ref="B35:G35"/>
    <mergeCell ref="B24:G24"/>
    <mergeCell ref="B25:G25"/>
    <mergeCell ref="B27:G27"/>
    <mergeCell ref="B28:G28"/>
    <mergeCell ref="B29:G29"/>
    <mergeCell ref="B30:G30"/>
    <mergeCell ref="E17:F17"/>
    <mergeCell ref="B19:G19"/>
    <mergeCell ref="B20:G20"/>
    <mergeCell ref="B21:G21"/>
    <mergeCell ref="B22:G22"/>
    <mergeCell ref="B23:G23"/>
    <mergeCell ref="A10:G10"/>
    <mergeCell ref="D12:F12"/>
    <mergeCell ref="D13:E13"/>
    <mergeCell ref="D14:F14"/>
    <mergeCell ref="D15:E15"/>
    <mergeCell ref="E16:F16"/>
    <mergeCell ref="E1:G1"/>
    <mergeCell ref="E4:G4"/>
    <mergeCell ref="E5:G5"/>
    <mergeCell ref="E6:G6"/>
    <mergeCell ref="E7:G7"/>
    <mergeCell ref="A9:G9"/>
  </mergeCells>
  <printOptions horizontalCentered="1" verticalCentered="1"/>
  <pageMargins left="0.3937007874015748" right="0.35433070866141736" top="1.1811023622047245" bottom="0.4724409448818898" header="0.31496062992125984" footer="0.31496062992125984"/>
  <pageSetup fitToHeight="3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G79"/>
  <sheetViews>
    <sheetView tabSelected="1" zoomScalePageLayoutView="0" workbookViewId="0" topLeftCell="A4">
      <selection activeCell="B36" sqref="B36:G36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16384" width="21.57421875" style="4" customWidth="1"/>
  </cols>
  <sheetData>
    <row r="1" spans="5:7" ht="77.25" customHeight="1">
      <c r="E1" s="484" t="s">
        <v>718</v>
      </c>
      <c r="F1" s="471"/>
      <c r="G1" s="471"/>
    </row>
    <row r="2" spans="1:5" ht="15.75">
      <c r="A2" s="1"/>
      <c r="E2" s="1"/>
    </row>
    <row r="3" spans="1:5" ht="15.75">
      <c r="A3" s="1"/>
      <c r="E3" s="1" t="s">
        <v>166</v>
      </c>
    </row>
    <row r="4" spans="1:7" ht="15.75" customHeight="1">
      <c r="A4" s="1"/>
      <c r="E4" s="468" t="s">
        <v>95</v>
      </c>
      <c r="F4" s="468"/>
      <c r="G4" s="468"/>
    </row>
    <row r="5" spans="1:7" ht="15.75">
      <c r="A5" s="1"/>
      <c r="B5" s="1"/>
      <c r="E5" s="469" t="s">
        <v>207</v>
      </c>
      <c r="F5" s="469"/>
      <c r="G5" s="469"/>
    </row>
    <row r="6" spans="1:7" ht="15" customHeight="1">
      <c r="A6" s="1"/>
      <c r="E6" s="470" t="s">
        <v>167</v>
      </c>
      <c r="F6" s="470"/>
      <c r="G6" s="470"/>
    </row>
    <row r="7" spans="5:7" ht="15">
      <c r="E7" s="443" t="s">
        <v>94</v>
      </c>
      <c r="F7" s="471"/>
      <c r="G7" s="471"/>
    </row>
    <row r="9" spans="1:7" ht="15.75">
      <c r="A9" s="455" t="s">
        <v>168</v>
      </c>
      <c r="B9" s="455"/>
      <c r="C9" s="455"/>
      <c r="D9" s="455"/>
      <c r="E9" s="455"/>
      <c r="F9" s="455"/>
      <c r="G9" s="455"/>
    </row>
    <row r="10" spans="1:7" ht="15.75">
      <c r="A10" s="455" t="s">
        <v>315</v>
      </c>
      <c r="B10" s="455"/>
      <c r="C10" s="455"/>
      <c r="D10" s="455"/>
      <c r="E10" s="455"/>
      <c r="F10" s="455"/>
      <c r="G10" s="455"/>
    </row>
    <row r="11" spans="1:7" ht="15.75">
      <c r="A11" s="156"/>
      <c r="B11" s="156"/>
      <c r="C11" s="156"/>
      <c r="D11" s="156"/>
      <c r="E11" s="156"/>
      <c r="F11" s="156"/>
      <c r="G11" s="156"/>
    </row>
    <row r="12" spans="1:7" ht="15" customHeight="1">
      <c r="A12" s="214" t="s">
        <v>304</v>
      </c>
      <c r="B12" s="420" t="s">
        <v>478</v>
      </c>
      <c r="C12" s="210"/>
      <c r="D12" s="456" t="s">
        <v>207</v>
      </c>
      <c r="E12" s="457"/>
      <c r="F12" s="458"/>
      <c r="G12" s="190">
        <v>38068238</v>
      </c>
    </row>
    <row r="13" spans="2:7" ht="30" customHeight="1">
      <c r="B13" s="422" t="s">
        <v>308</v>
      </c>
      <c r="C13" s="196"/>
      <c r="D13" s="459" t="s">
        <v>167</v>
      </c>
      <c r="E13" s="459"/>
      <c r="F13" s="212"/>
      <c r="G13" s="192" t="s">
        <v>305</v>
      </c>
    </row>
    <row r="14" spans="1:7" ht="15" customHeight="1">
      <c r="A14" s="213" t="s">
        <v>306</v>
      </c>
      <c r="B14" s="420" t="s">
        <v>479</v>
      </c>
      <c r="C14" s="211"/>
      <c r="D14" s="460" t="s">
        <v>207</v>
      </c>
      <c r="E14" s="461"/>
      <c r="F14" s="462"/>
      <c r="G14" s="193">
        <v>38068238</v>
      </c>
    </row>
    <row r="15" spans="1:7" ht="45" customHeight="1">
      <c r="A15" s="213"/>
      <c r="B15" s="422" t="s">
        <v>308</v>
      </c>
      <c r="C15" s="196"/>
      <c r="D15" s="463" t="s">
        <v>205</v>
      </c>
      <c r="E15" s="463"/>
      <c r="F15" s="212"/>
      <c r="G15" s="192" t="s">
        <v>305</v>
      </c>
    </row>
    <row r="16" spans="1:7" ht="15" customHeight="1">
      <c r="A16" s="194" t="s">
        <v>307</v>
      </c>
      <c r="B16" s="420" t="s">
        <v>717</v>
      </c>
      <c r="C16" s="420" t="s">
        <v>716</v>
      </c>
      <c r="D16" s="420" t="s">
        <v>180</v>
      </c>
      <c r="E16" s="464" t="s">
        <v>715</v>
      </c>
      <c r="F16" s="465"/>
      <c r="G16" s="420" t="s">
        <v>477</v>
      </c>
    </row>
    <row r="17" spans="1:7" ht="51.75" customHeight="1">
      <c r="A17" s="195"/>
      <c r="B17" s="196" t="s">
        <v>308</v>
      </c>
      <c r="C17" s="422" t="s">
        <v>309</v>
      </c>
      <c r="D17" s="191" t="s">
        <v>310</v>
      </c>
      <c r="E17" s="454" t="s">
        <v>311</v>
      </c>
      <c r="F17" s="454"/>
      <c r="G17" s="422" t="s">
        <v>312</v>
      </c>
    </row>
    <row r="18" spans="1:7" ht="51" customHeight="1">
      <c r="A18" s="2" t="s">
        <v>172</v>
      </c>
      <c r="B18" s="9" t="s">
        <v>210</v>
      </c>
      <c r="C18" s="551">
        <f>E18+G18</f>
        <v>1029525</v>
      </c>
      <c r="D18" s="9" t="s">
        <v>43</v>
      </c>
      <c r="E18" s="551">
        <f>SUM(C43)</f>
        <v>1029525</v>
      </c>
      <c r="F18" s="9" t="s">
        <v>44</v>
      </c>
      <c r="G18" s="551">
        <f>SUM(D43)</f>
        <v>0</v>
      </c>
    </row>
    <row r="19" spans="1:7" ht="15.75">
      <c r="A19" s="2" t="s">
        <v>9</v>
      </c>
      <c r="B19" s="436" t="s">
        <v>209</v>
      </c>
      <c r="C19" s="436"/>
      <c r="D19" s="436"/>
      <c r="E19" s="436"/>
      <c r="F19" s="436"/>
      <c r="G19" s="436"/>
    </row>
    <row r="20" spans="1:7" ht="22.5" customHeight="1">
      <c r="A20" s="2"/>
      <c r="B20" s="436" t="s">
        <v>211</v>
      </c>
      <c r="C20" s="436"/>
      <c r="D20" s="436"/>
      <c r="E20" s="436"/>
      <c r="F20" s="436"/>
      <c r="G20" s="436"/>
    </row>
    <row r="21" spans="1:7" ht="20.25" customHeight="1">
      <c r="A21" s="2"/>
      <c r="B21" s="436" t="s">
        <v>215</v>
      </c>
      <c r="C21" s="436"/>
      <c r="D21" s="436"/>
      <c r="E21" s="436"/>
      <c r="F21" s="436"/>
      <c r="G21" s="436"/>
    </row>
    <row r="22" spans="1:7" ht="21.75" customHeight="1">
      <c r="A22" s="2"/>
      <c r="B22" s="436" t="s">
        <v>332</v>
      </c>
      <c r="C22" s="436"/>
      <c r="D22" s="436"/>
      <c r="E22" s="436"/>
      <c r="F22" s="436"/>
      <c r="G22" s="436"/>
    </row>
    <row r="23" spans="1:7" ht="30" customHeight="1">
      <c r="A23" s="2"/>
      <c r="B23" s="436" t="s">
        <v>714</v>
      </c>
      <c r="C23" s="436"/>
      <c r="D23" s="436"/>
      <c r="E23" s="436"/>
      <c r="F23" s="436"/>
      <c r="G23" s="436"/>
    </row>
    <row r="24" spans="1:7" s="166" customFormat="1" ht="33" customHeight="1">
      <c r="A24" s="197"/>
      <c r="B24" s="450" t="s">
        <v>713</v>
      </c>
      <c r="C24" s="450"/>
      <c r="D24" s="450"/>
      <c r="E24" s="450"/>
      <c r="F24" s="450"/>
      <c r="G24" s="450"/>
    </row>
    <row r="25" spans="1:7" s="166" customFormat="1" ht="33" customHeight="1">
      <c r="A25" s="197"/>
      <c r="B25" s="450" t="s">
        <v>712</v>
      </c>
      <c r="C25" s="450"/>
      <c r="D25" s="450"/>
      <c r="E25" s="450"/>
      <c r="F25" s="450"/>
      <c r="G25" s="450"/>
    </row>
    <row r="26" spans="1:7" ht="15" customHeight="1">
      <c r="A26" s="2"/>
      <c r="B26" s="421"/>
      <c r="C26" s="421"/>
      <c r="D26" s="421"/>
      <c r="E26" s="421"/>
      <c r="F26" s="421"/>
      <c r="G26" s="421"/>
    </row>
    <row r="27" spans="1:7" ht="24.75" customHeight="1">
      <c r="A27" s="2" t="s">
        <v>10</v>
      </c>
      <c r="B27" s="436" t="s">
        <v>41</v>
      </c>
      <c r="C27" s="436"/>
      <c r="D27" s="436"/>
      <c r="E27" s="436"/>
      <c r="F27" s="436"/>
      <c r="G27" s="436"/>
    </row>
    <row r="28" spans="1:7" ht="19.5" customHeight="1">
      <c r="A28" s="6"/>
      <c r="B28" s="451" t="s">
        <v>234</v>
      </c>
      <c r="C28" s="452"/>
      <c r="D28" s="452"/>
      <c r="E28" s="452"/>
      <c r="F28" s="452"/>
      <c r="G28" s="453"/>
    </row>
    <row r="29" spans="1:7" ht="39" customHeight="1">
      <c r="A29" s="6" t="s">
        <v>169</v>
      </c>
      <c r="B29" s="502" t="s">
        <v>711</v>
      </c>
      <c r="C29" s="502"/>
      <c r="D29" s="502"/>
      <c r="E29" s="502"/>
      <c r="F29" s="502"/>
      <c r="G29" s="502"/>
    </row>
    <row r="30" spans="1:7" ht="19.5" customHeight="1">
      <c r="A30" s="16"/>
      <c r="B30" s="50"/>
      <c r="C30" s="50"/>
      <c r="D30" s="50"/>
      <c r="E30" s="50"/>
      <c r="F30" s="50"/>
      <c r="G30" s="50"/>
    </row>
    <row r="31" spans="1:7" ht="15.75">
      <c r="A31" s="2" t="s">
        <v>11</v>
      </c>
      <c r="B31" s="436" t="s">
        <v>710</v>
      </c>
      <c r="C31" s="436"/>
      <c r="D31" s="436"/>
      <c r="E31" s="436"/>
      <c r="F31" s="436"/>
      <c r="G31" s="436"/>
    </row>
    <row r="32" spans="1:4" ht="18.75" customHeight="1">
      <c r="A32" s="2" t="s">
        <v>15</v>
      </c>
      <c r="B32" s="443" t="s">
        <v>12</v>
      </c>
      <c r="C32" s="443"/>
      <c r="D32" s="443"/>
    </row>
    <row r="33" ht="15.75">
      <c r="A33" s="3"/>
    </row>
    <row r="34" spans="1:7" ht="15.75">
      <c r="A34" s="6" t="s">
        <v>13</v>
      </c>
      <c r="B34" s="444" t="s">
        <v>14</v>
      </c>
      <c r="C34" s="444"/>
      <c r="D34" s="444"/>
      <c r="E34" s="444"/>
      <c r="F34" s="444"/>
      <c r="G34" s="444"/>
    </row>
    <row r="35" spans="1:7" ht="30.75" customHeight="1">
      <c r="A35" s="6">
        <v>1</v>
      </c>
      <c r="B35" s="445" t="s">
        <v>707</v>
      </c>
      <c r="C35" s="446" t="s">
        <v>26</v>
      </c>
      <c r="D35" s="446" t="s">
        <v>26</v>
      </c>
      <c r="E35" s="446" t="s">
        <v>26</v>
      </c>
      <c r="F35" s="446" t="s">
        <v>26</v>
      </c>
      <c r="G35" s="447" t="s">
        <v>26</v>
      </c>
    </row>
    <row r="36" spans="1:7" ht="15.75" customHeight="1">
      <c r="A36" s="48"/>
      <c r="B36" s="49"/>
      <c r="C36" s="49"/>
      <c r="D36" s="49"/>
      <c r="E36" s="49"/>
      <c r="F36" s="49"/>
      <c r="G36" s="49"/>
    </row>
    <row r="37" spans="1:7" ht="15.75" customHeight="1">
      <c r="A37" s="508" t="s">
        <v>22</v>
      </c>
      <c r="B37" s="509" t="s">
        <v>16</v>
      </c>
      <c r="C37" s="509"/>
      <c r="D37" s="509"/>
      <c r="E37" s="509"/>
      <c r="F37" s="509"/>
      <c r="G37" s="509"/>
    </row>
    <row r="38" spans="1:2" ht="15" customHeight="1">
      <c r="A38" s="508"/>
      <c r="B38" s="1" t="s">
        <v>17</v>
      </c>
    </row>
    <row r="39" ht="15.75">
      <c r="A39" s="3"/>
    </row>
    <row r="40" spans="1:5" ht="31.5">
      <c r="A40" s="6" t="s">
        <v>13</v>
      </c>
      <c r="B40" s="6" t="s">
        <v>18</v>
      </c>
      <c r="C40" s="6" t="s">
        <v>19</v>
      </c>
      <c r="D40" s="6" t="s">
        <v>20</v>
      </c>
      <c r="E40" s="6" t="s">
        <v>21</v>
      </c>
    </row>
    <row r="41" spans="1:5" ht="15.75">
      <c r="A41" s="6">
        <v>1</v>
      </c>
      <c r="B41" s="6">
        <v>2</v>
      </c>
      <c r="C41" s="6">
        <v>3</v>
      </c>
      <c r="D41" s="6">
        <v>4</v>
      </c>
      <c r="E41" s="6">
        <v>6</v>
      </c>
    </row>
    <row r="42" spans="1:5" ht="107.25" customHeight="1">
      <c r="A42" s="6">
        <v>1</v>
      </c>
      <c r="B42" s="12" t="s">
        <v>709</v>
      </c>
      <c r="C42" s="83">
        <v>1029525</v>
      </c>
      <c r="D42" s="83"/>
      <c r="E42" s="83">
        <f>C42+D42</f>
        <v>1029525</v>
      </c>
    </row>
    <row r="43" spans="1:5" ht="15.75">
      <c r="A43" s="434" t="s">
        <v>21</v>
      </c>
      <c r="B43" s="434"/>
      <c r="C43" s="549">
        <f>SUM(C42:C42)</f>
        <v>1029525</v>
      </c>
      <c r="D43" s="549">
        <f>SUM(D42:D42)</f>
        <v>0</v>
      </c>
      <c r="E43" s="549">
        <f>SUM(E42:E42)</f>
        <v>1029525</v>
      </c>
    </row>
    <row r="44" ht="15.75">
      <c r="A44" s="3"/>
    </row>
    <row r="45" ht="15.75">
      <c r="A45" s="3"/>
    </row>
    <row r="46" spans="1:7" ht="15.75">
      <c r="A46" s="435" t="s">
        <v>194</v>
      </c>
      <c r="B46" s="436" t="s">
        <v>23</v>
      </c>
      <c r="C46" s="436"/>
      <c r="D46" s="436"/>
      <c r="E46" s="436"/>
      <c r="F46" s="436"/>
      <c r="G46" s="436"/>
    </row>
    <row r="47" spans="1:2" ht="15.75">
      <c r="A47" s="435"/>
      <c r="B47" s="1" t="s">
        <v>17</v>
      </c>
    </row>
    <row r="48" ht="15.75">
      <c r="A48" s="3"/>
    </row>
    <row r="49" spans="1:5" ht="31.5">
      <c r="A49" s="6" t="s">
        <v>13</v>
      </c>
      <c r="B49" s="6" t="s">
        <v>193</v>
      </c>
      <c r="C49" s="6" t="s">
        <v>19</v>
      </c>
      <c r="D49" s="6" t="s">
        <v>20</v>
      </c>
      <c r="E49" s="6" t="s">
        <v>21</v>
      </c>
    </row>
    <row r="50" spans="1:5" ht="15.75">
      <c r="A50" s="6">
        <v>1</v>
      </c>
      <c r="B50" s="6">
        <v>2</v>
      </c>
      <c r="C50" s="6">
        <v>3</v>
      </c>
      <c r="D50" s="6">
        <v>4</v>
      </c>
      <c r="E50" s="6">
        <v>5</v>
      </c>
    </row>
    <row r="51" spans="1:5" ht="105">
      <c r="A51" s="6">
        <v>1</v>
      </c>
      <c r="B51" s="31" t="s">
        <v>708</v>
      </c>
      <c r="C51" s="550">
        <f>SUM(C42)</f>
        <v>1029525</v>
      </c>
      <c r="D51" s="550"/>
      <c r="E51" s="550">
        <f>SUM(C51:D51)</f>
        <v>1029525</v>
      </c>
    </row>
    <row r="52" spans="1:5" ht="15.75">
      <c r="A52" s="28"/>
      <c r="B52" s="17" t="s">
        <v>21</v>
      </c>
      <c r="C52" s="549">
        <f>SUM(C51:C51)</f>
        <v>1029525</v>
      </c>
      <c r="D52" s="549">
        <f>SUM(D51:D51)</f>
        <v>0</v>
      </c>
      <c r="E52" s="549">
        <f>SUM(E51:E51)</f>
        <v>1029525</v>
      </c>
    </row>
    <row r="53" ht="15.75">
      <c r="A53" s="3"/>
    </row>
    <row r="54" ht="15.75">
      <c r="A54" s="3"/>
    </row>
    <row r="55" spans="1:7" ht="15.75">
      <c r="A55" s="2" t="s">
        <v>47</v>
      </c>
      <c r="B55" s="436" t="s">
        <v>195</v>
      </c>
      <c r="C55" s="436"/>
      <c r="D55" s="436"/>
      <c r="E55" s="436"/>
      <c r="F55" s="436"/>
      <c r="G55" s="436"/>
    </row>
    <row r="56" ht="15.75">
      <c r="A56" s="3"/>
    </row>
    <row r="57" spans="1:7" ht="46.5" customHeight="1">
      <c r="A57" s="6" t="s">
        <v>13</v>
      </c>
      <c r="B57" s="6" t="s">
        <v>196</v>
      </c>
      <c r="C57" s="6" t="s">
        <v>197</v>
      </c>
      <c r="D57" s="6" t="s">
        <v>198</v>
      </c>
      <c r="E57" s="6" t="s">
        <v>19</v>
      </c>
      <c r="F57" s="6" t="s">
        <v>20</v>
      </c>
      <c r="G57" s="6" t="s">
        <v>21</v>
      </c>
    </row>
    <row r="58" spans="1:7" ht="15.75">
      <c r="A58" s="6">
        <v>1</v>
      </c>
      <c r="B58" s="6">
        <v>2</v>
      </c>
      <c r="C58" s="6">
        <v>3</v>
      </c>
      <c r="D58" s="6">
        <v>4</v>
      </c>
      <c r="E58" s="6">
        <v>5</v>
      </c>
      <c r="F58" s="6">
        <v>6</v>
      </c>
      <c r="G58" s="6">
        <v>7</v>
      </c>
    </row>
    <row r="59" spans="1:7" ht="33.75" customHeight="1">
      <c r="A59" s="6">
        <v>1</v>
      </c>
      <c r="B59" s="437" t="s">
        <v>707</v>
      </c>
      <c r="C59" s="544"/>
      <c r="D59" s="544"/>
      <c r="E59" s="544"/>
      <c r="F59" s="544"/>
      <c r="G59" s="545"/>
    </row>
    <row r="60" spans="1:7" ht="15.75" customHeight="1">
      <c r="A60" s="6"/>
      <c r="B60" s="67" t="s">
        <v>199</v>
      </c>
      <c r="C60" s="35"/>
      <c r="D60" s="35"/>
      <c r="E60" s="28"/>
      <c r="F60" s="47"/>
      <c r="G60" s="45"/>
    </row>
    <row r="61" spans="1:7" ht="15.75" customHeight="1">
      <c r="A61" s="6"/>
      <c r="B61" s="34" t="s">
        <v>48</v>
      </c>
      <c r="C61" s="35" t="s">
        <v>79</v>
      </c>
      <c r="D61" s="35" t="s">
        <v>70</v>
      </c>
      <c r="E61" s="83">
        <f>SUM(C42)</f>
        <v>1029525</v>
      </c>
      <c r="F61" s="83"/>
      <c r="G61" s="548">
        <f>SUM(E61:F61)</f>
        <v>1029525</v>
      </c>
    </row>
    <row r="62" spans="1:7" ht="15.75" customHeight="1">
      <c r="A62" s="6"/>
      <c r="B62" s="67" t="s">
        <v>200</v>
      </c>
      <c r="C62" s="35"/>
      <c r="D62" s="35"/>
      <c r="E62" s="13" t="s">
        <v>28</v>
      </c>
      <c r="F62" s="223"/>
      <c r="G62" s="548"/>
    </row>
    <row r="63" spans="1:7" ht="24" customHeight="1">
      <c r="A63" s="6"/>
      <c r="B63" s="34" t="s">
        <v>706</v>
      </c>
      <c r="C63" s="35" t="s">
        <v>64</v>
      </c>
      <c r="D63" s="35" t="s">
        <v>70</v>
      </c>
      <c r="E63" s="13">
        <v>13</v>
      </c>
      <c r="F63" s="279"/>
      <c r="G63" s="222">
        <f>SUM(E63:F63)</f>
        <v>13</v>
      </c>
    </row>
    <row r="64" spans="1:7" ht="24" customHeight="1">
      <c r="A64" s="6"/>
      <c r="B64" s="34" t="s">
        <v>705</v>
      </c>
      <c r="C64" s="35" t="s">
        <v>704</v>
      </c>
      <c r="D64" s="35" t="s">
        <v>70</v>
      </c>
      <c r="E64" s="13">
        <v>150</v>
      </c>
      <c r="F64" s="279"/>
      <c r="G64" s="222">
        <f>SUM(E64:F64)</f>
        <v>150</v>
      </c>
    </row>
    <row r="65" spans="1:7" ht="15.75" customHeight="1">
      <c r="A65" s="6"/>
      <c r="B65" s="67" t="s">
        <v>201</v>
      </c>
      <c r="C65" s="35"/>
      <c r="D65" s="35"/>
      <c r="E65" s="13"/>
      <c r="F65" s="222"/>
      <c r="G65" s="548"/>
    </row>
    <row r="66" spans="1:7" ht="33.75" customHeight="1">
      <c r="A66" s="6"/>
      <c r="B66" s="34" t="s">
        <v>703</v>
      </c>
      <c r="C66" s="35" t="s">
        <v>79</v>
      </c>
      <c r="D66" s="35" t="s">
        <v>70</v>
      </c>
      <c r="E66" s="83">
        <f>SUM(E61/E64)</f>
        <v>6863.5</v>
      </c>
      <c r="F66" s="548"/>
      <c r="G66" s="548">
        <f>SUM(E66:F66)</f>
        <v>6863.5</v>
      </c>
    </row>
    <row r="67" spans="1:7" ht="15.75" customHeight="1">
      <c r="A67" s="6"/>
      <c r="B67" s="67" t="s">
        <v>202</v>
      </c>
      <c r="C67" s="35"/>
      <c r="D67" s="35"/>
      <c r="E67" s="13"/>
      <c r="F67" s="222"/>
      <c r="G67" s="548"/>
    </row>
    <row r="68" spans="1:7" ht="28.5" customHeight="1">
      <c r="A68" s="6"/>
      <c r="B68" s="34" t="s">
        <v>179</v>
      </c>
      <c r="C68" s="35" t="s">
        <v>71</v>
      </c>
      <c r="D68" s="35" t="s">
        <v>70</v>
      </c>
      <c r="E68" s="6">
        <v>100</v>
      </c>
      <c r="F68" s="222"/>
      <c r="G68" s="222">
        <f>SUM(E68:F68)</f>
        <v>100</v>
      </c>
    </row>
    <row r="69" spans="1:4" ht="15.75">
      <c r="A69" s="3"/>
      <c r="B69" s="58"/>
      <c r="C69" s="59"/>
      <c r="D69" s="63"/>
    </row>
    <row r="70" spans="1:7" ht="15.75" customHeight="1">
      <c r="A70" s="3" t="s">
        <v>73</v>
      </c>
      <c r="B70" s="3"/>
      <c r="C70" s="3"/>
      <c r="D70" s="8"/>
      <c r="E70" s="75"/>
      <c r="F70" s="430" t="s">
        <v>74</v>
      </c>
      <c r="G70" s="430"/>
    </row>
    <row r="71" spans="1:7" ht="15">
      <c r="A71" s="85"/>
      <c r="B71" s="85"/>
      <c r="C71" s="85"/>
      <c r="D71" s="5" t="s">
        <v>203</v>
      </c>
      <c r="E71" s="86"/>
      <c r="F71" s="472" t="s">
        <v>75</v>
      </c>
      <c r="G71" s="473"/>
    </row>
    <row r="72" spans="1:7" ht="15.75">
      <c r="A72" s="474"/>
      <c r="B72" s="474"/>
      <c r="C72" s="85"/>
      <c r="D72" s="2"/>
      <c r="E72" s="85"/>
      <c r="F72" s="85"/>
      <c r="G72" s="85"/>
    </row>
    <row r="73" spans="1:7" ht="15.75">
      <c r="A73" s="433" t="s">
        <v>204</v>
      </c>
      <c r="B73" s="433"/>
      <c r="C73" s="85"/>
      <c r="E73" s="85"/>
      <c r="F73" s="85"/>
      <c r="G73" s="85"/>
    </row>
    <row r="74" spans="1:7" ht="15.75" customHeight="1">
      <c r="A74" s="3" t="s">
        <v>281</v>
      </c>
      <c r="B74" s="3"/>
      <c r="C74" s="3"/>
      <c r="D74" s="8"/>
      <c r="E74" s="75"/>
      <c r="F74" s="430" t="s">
        <v>76</v>
      </c>
      <c r="G74" s="430"/>
    </row>
    <row r="75" spans="1:7" ht="15.75">
      <c r="A75" s="3" t="s">
        <v>286</v>
      </c>
      <c r="B75" s="3"/>
      <c r="C75" s="85"/>
      <c r="D75" s="5" t="s">
        <v>203</v>
      </c>
      <c r="E75" s="5"/>
      <c r="F75" s="431" t="s">
        <v>75</v>
      </c>
      <c r="G75" s="432"/>
    </row>
    <row r="76" spans="1:7" ht="15.75">
      <c r="A76" s="3"/>
      <c r="B76" s="3"/>
      <c r="C76" s="85"/>
      <c r="D76" s="5"/>
      <c r="E76" s="5"/>
      <c r="F76" s="97"/>
      <c r="G76" s="423"/>
    </row>
    <row r="77" spans="1:7" ht="15.75">
      <c r="A77" s="3"/>
      <c r="B77" s="101"/>
      <c r="C77" s="85"/>
      <c r="D77" s="5"/>
      <c r="E77" s="5"/>
      <c r="F77" s="97"/>
      <c r="G77" s="423"/>
    </row>
    <row r="78" spans="1:7" ht="15.75">
      <c r="A78" s="1"/>
      <c r="B78" s="92" t="s">
        <v>162</v>
      </c>
      <c r="C78" s="2"/>
      <c r="F78" s="475"/>
      <c r="G78" s="475"/>
    </row>
    <row r="79" ht="15">
      <c r="B79" s="23" t="s">
        <v>163</v>
      </c>
    </row>
  </sheetData>
  <sheetProtection/>
  <mergeCells count="41">
    <mergeCell ref="F78:G78"/>
    <mergeCell ref="F70:G70"/>
    <mergeCell ref="F71:G71"/>
    <mergeCell ref="A72:B72"/>
    <mergeCell ref="A73:B73"/>
    <mergeCell ref="F74:G74"/>
    <mergeCell ref="F75:G75"/>
    <mergeCell ref="A43:B43"/>
    <mergeCell ref="A46:A47"/>
    <mergeCell ref="B46:G46"/>
    <mergeCell ref="B55:G55"/>
    <mergeCell ref="B59:G59"/>
    <mergeCell ref="B32:D32"/>
    <mergeCell ref="B34:G34"/>
    <mergeCell ref="B35:G35"/>
    <mergeCell ref="A37:A38"/>
    <mergeCell ref="B37:G37"/>
    <mergeCell ref="B24:G24"/>
    <mergeCell ref="B25:G25"/>
    <mergeCell ref="B27:G27"/>
    <mergeCell ref="B28:G28"/>
    <mergeCell ref="B29:G29"/>
    <mergeCell ref="B31:G31"/>
    <mergeCell ref="E17:F17"/>
    <mergeCell ref="B19:G19"/>
    <mergeCell ref="B20:G20"/>
    <mergeCell ref="B21:G21"/>
    <mergeCell ref="B22:G22"/>
    <mergeCell ref="B23:G23"/>
    <mergeCell ref="A10:G10"/>
    <mergeCell ref="D12:F12"/>
    <mergeCell ref="D13:E13"/>
    <mergeCell ref="D14:F14"/>
    <mergeCell ref="D15:E15"/>
    <mergeCell ref="E16:F16"/>
    <mergeCell ref="E1:G1"/>
    <mergeCell ref="E4:G4"/>
    <mergeCell ref="E5:G5"/>
    <mergeCell ref="E6:G6"/>
    <mergeCell ref="E7:G7"/>
    <mergeCell ref="A9:G9"/>
  </mergeCells>
  <printOptions/>
  <pageMargins left="0.1968503937007874" right="0.1968503937007874" top="1.1811023622047245" bottom="0.1968503937007874" header="0.31496062992125984" footer="0.31496062992125984"/>
  <pageSetup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G87"/>
  <sheetViews>
    <sheetView zoomScalePageLayoutView="0" workbookViewId="0" topLeftCell="A76">
      <selection activeCell="B36" sqref="B36:G36"/>
    </sheetView>
  </sheetViews>
  <sheetFormatPr defaultColWidth="21.57421875" defaultRowHeight="15"/>
  <cols>
    <col min="1" max="1" width="6.57421875" style="244" customWidth="1"/>
    <col min="2" max="2" width="21.57421875" style="244" customWidth="1"/>
    <col min="3" max="3" width="19.57421875" style="244" customWidth="1"/>
    <col min="4" max="4" width="21.57421875" style="244" customWidth="1"/>
    <col min="5" max="5" width="22.421875" style="244" customWidth="1"/>
    <col min="6" max="7" width="21.57421875" style="244" customWidth="1"/>
    <col min="8" max="27" width="10.28125" style="244" customWidth="1"/>
    <col min="28" max="16384" width="21.57421875" style="244" customWidth="1"/>
  </cols>
  <sheetData>
    <row r="1" spans="1:7" ht="15" customHeight="1">
      <c r="A1" s="243"/>
      <c r="B1" s="243"/>
      <c r="C1" s="243"/>
      <c r="D1" s="243"/>
      <c r="E1" s="517" t="s">
        <v>518</v>
      </c>
      <c r="F1" s="517"/>
      <c r="G1" s="517"/>
    </row>
    <row r="2" spans="1:7" ht="21" customHeight="1">
      <c r="A2" s="243"/>
      <c r="B2" s="243"/>
      <c r="C2" s="243"/>
      <c r="D2" s="243"/>
      <c r="E2" s="517"/>
      <c r="F2" s="517"/>
      <c r="G2" s="517"/>
    </row>
    <row r="3" spans="1:7" ht="17.25" customHeight="1">
      <c r="A3" s="243"/>
      <c r="B3" s="243"/>
      <c r="C3" s="243"/>
      <c r="D3" s="243"/>
      <c r="E3" s="243"/>
      <c r="F3" s="564"/>
      <c r="G3" s="564"/>
    </row>
    <row r="4" spans="1:7" ht="15.75">
      <c r="A4" s="426"/>
      <c r="B4" s="243"/>
      <c r="C4" s="243"/>
      <c r="D4" s="243"/>
      <c r="E4" s="424" t="s">
        <v>166</v>
      </c>
      <c r="F4" s="245"/>
      <c r="G4" s="245"/>
    </row>
    <row r="5" spans="1:7" ht="15.75">
      <c r="A5" s="426"/>
      <c r="B5" s="243"/>
      <c r="C5" s="243"/>
      <c r="D5" s="243"/>
      <c r="E5" s="518" t="s">
        <v>216</v>
      </c>
      <c r="F5" s="518"/>
      <c r="G5" s="518"/>
    </row>
    <row r="6" spans="1:7" ht="15.75">
      <c r="A6" s="426"/>
      <c r="B6" s="426"/>
      <c r="C6" s="243"/>
      <c r="D6" s="243"/>
      <c r="E6" s="519" t="s">
        <v>207</v>
      </c>
      <c r="F6" s="519"/>
      <c r="G6" s="519"/>
    </row>
    <row r="7" spans="1:7" ht="15" customHeight="1">
      <c r="A7" s="426"/>
      <c r="B7" s="243"/>
      <c r="C7" s="243"/>
      <c r="D7" s="243"/>
      <c r="E7" s="520" t="s">
        <v>167</v>
      </c>
      <c r="F7" s="520"/>
      <c r="G7" s="520"/>
    </row>
    <row r="8" spans="1:7" ht="15" customHeight="1">
      <c r="A8" s="426"/>
      <c r="B8" s="243"/>
      <c r="C8" s="243"/>
      <c r="D8" s="243"/>
      <c r="E8" s="521" t="s">
        <v>519</v>
      </c>
      <c r="F8" s="521"/>
      <c r="G8" s="521"/>
    </row>
    <row r="9" spans="1:7" ht="15" customHeight="1">
      <c r="A9" s="426"/>
      <c r="B9" s="243"/>
      <c r="C9" s="243"/>
      <c r="D9" s="243"/>
      <c r="E9" s="428"/>
      <c r="F9" s="428"/>
      <c r="G9" s="428"/>
    </row>
    <row r="10" spans="1:7" ht="15.75">
      <c r="A10" s="522" t="s">
        <v>168</v>
      </c>
      <c r="B10" s="522"/>
      <c r="C10" s="522"/>
      <c r="D10" s="522"/>
      <c r="E10" s="522"/>
      <c r="F10" s="522"/>
      <c r="G10" s="522"/>
    </row>
    <row r="11" spans="1:7" ht="15.75">
      <c r="A11" s="522" t="s">
        <v>315</v>
      </c>
      <c r="B11" s="522"/>
      <c r="C11" s="522"/>
      <c r="D11" s="522"/>
      <c r="E11" s="522"/>
      <c r="F11" s="522"/>
      <c r="G11" s="522"/>
    </row>
    <row r="12" spans="1:7" ht="15.75">
      <c r="A12" s="156"/>
      <c r="B12" s="156"/>
      <c r="C12" s="156"/>
      <c r="D12" s="156"/>
      <c r="E12" s="156"/>
      <c r="F12" s="156"/>
      <c r="G12" s="156"/>
    </row>
    <row r="13" spans="1:7" ht="15" customHeight="1">
      <c r="A13" s="246" t="s">
        <v>304</v>
      </c>
      <c r="B13" s="420" t="s">
        <v>478</v>
      </c>
      <c r="C13" s="210"/>
      <c r="D13" s="456" t="s">
        <v>207</v>
      </c>
      <c r="E13" s="457"/>
      <c r="F13" s="458"/>
      <c r="G13" s="190">
        <v>38068238</v>
      </c>
    </row>
    <row r="14" spans="1:7" ht="22.5" customHeight="1">
      <c r="A14" s="66"/>
      <c r="B14" s="422" t="s">
        <v>308</v>
      </c>
      <c r="C14" s="196"/>
      <c r="D14" s="459" t="s">
        <v>167</v>
      </c>
      <c r="E14" s="459"/>
      <c r="F14" s="212"/>
      <c r="G14" s="192" t="s">
        <v>305</v>
      </c>
    </row>
    <row r="15" spans="1:7" ht="15" customHeight="1">
      <c r="A15" s="247" t="s">
        <v>306</v>
      </c>
      <c r="B15" s="420" t="s">
        <v>479</v>
      </c>
      <c r="C15" s="211"/>
      <c r="D15" s="460" t="s">
        <v>207</v>
      </c>
      <c r="E15" s="461"/>
      <c r="F15" s="462"/>
      <c r="G15" s="193">
        <v>38068238</v>
      </c>
    </row>
    <row r="16" spans="1:7" ht="33" customHeight="1">
      <c r="A16" s="213"/>
      <c r="B16" s="422" t="s">
        <v>308</v>
      </c>
      <c r="C16" s="196"/>
      <c r="D16" s="463" t="s">
        <v>205</v>
      </c>
      <c r="E16" s="463"/>
      <c r="F16" s="212"/>
      <c r="G16" s="192" t="s">
        <v>305</v>
      </c>
    </row>
    <row r="17" spans="1:7" ht="27.75" customHeight="1">
      <c r="A17" s="248" t="s">
        <v>307</v>
      </c>
      <c r="B17" s="249" t="s">
        <v>736</v>
      </c>
      <c r="C17" s="427">
        <v>7310</v>
      </c>
      <c r="D17" s="249" t="s">
        <v>35</v>
      </c>
      <c r="E17" s="523" t="s">
        <v>735</v>
      </c>
      <c r="F17" s="523"/>
      <c r="G17" s="249" t="s">
        <v>521</v>
      </c>
    </row>
    <row r="18" spans="1:7" ht="46.5" customHeight="1">
      <c r="A18" s="243"/>
      <c r="B18" s="250" t="s">
        <v>308</v>
      </c>
      <c r="C18" s="429" t="s">
        <v>309</v>
      </c>
      <c r="D18" s="429" t="s">
        <v>310</v>
      </c>
      <c r="E18" s="524" t="s">
        <v>311</v>
      </c>
      <c r="F18" s="524"/>
      <c r="G18" s="429" t="s">
        <v>312</v>
      </c>
    </row>
    <row r="19" spans="1:7" ht="20.25" customHeight="1">
      <c r="A19" s="426" t="s">
        <v>172</v>
      </c>
      <c r="B19" s="251" t="s">
        <v>522</v>
      </c>
      <c r="C19" s="251"/>
      <c r="D19" s="9"/>
      <c r="E19" s="252">
        <f>SUM(C20+F20)</f>
        <v>7198950</v>
      </c>
      <c r="F19" s="9" t="s">
        <v>523</v>
      </c>
      <c r="G19" s="9"/>
    </row>
    <row r="20" spans="1:7" ht="18.75" customHeight="1">
      <c r="A20" s="426"/>
      <c r="B20" s="9" t="s">
        <v>524</v>
      </c>
      <c r="C20" s="252">
        <f>SUM(C48)</f>
        <v>0</v>
      </c>
      <c r="D20" s="9" t="s">
        <v>525</v>
      </c>
      <c r="E20" s="253" t="s">
        <v>526</v>
      </c>
      <c r="F20" s="252">
        <f>SUM(D48)</f>
        <v>7198950</v>
      </c>
      <c r="G20" s="9" t="s">
        <v>527</v>
      </c>
    </row>
    <row r="21" spans="1:7" ht="18.75" customHeight="1">
      <c r="A21" s="426"/>
      <c r="B21" s="9"/>
      <c r="C21" s="252"/>
      <c r="D21" s="9"/>
      <c r="E21" s="253"/>
      <c r="F21" s="252"/>
      <c r="G21" s="9"/>
    </row>
    <row r="22" spans="1:7" ht="15.75">
      <c r="A22" s="426" t="s">
        <v>9</v>
      </c>
      <c r="B22" s="518" t="s">
        <v>528</v>
      </c>
      <c r="C22" s="518"/>
      <c r="D22" s="518"/>
      <c r="E22" s="518"/>
      <c r="F22" s="518"/>
      <c r="G22" s="518"/>
    </row>
    <row r="23" spans="1:7" ht="15.75">
      <c r="A23" s="426"/>
      <c r="B23" s="436" t="s">
        <v>529</v>
      </c>
      <c r="C23" s="436"/>
      <c r="D23" s="436"/>
      <c r="E23" s="436"/>
      <c r="F23" s="436"/>
      <c r="G23" s="436"/>
    </row>
    <row r="24" spans="1:7" ht="15.75">
      <c r="A24" s="426"/>
      <c r="B24" s="436" t="s">
        <v>530</v>
      </c>
      <c r="C24" s="436"/>
      <c r="D24" s="436"/>
      <c r="E24" s="436"/>
      <c r="F24" s="436"/>
      <c r="G24" s="436"/>
    </row>
    <row r="25" spans="1:7" ht="15.75">
      <c r="A25" s="426"/>
      <c r="B25" s="436" t="s">
        <v>531</v>
      </c>
      <c r="C25" s="436"/>
      <c r="D25" s="436"/>
      <c r="E25" s="436"/>
      <c r="F25" s="436"/>
      <c r="G25" s="436"/>
    </row>
    <row r="26" spans="1:7" ht="33.75" customHeight="1">
      <c r="A26" s="426"/>
      <c r="B26" s="436" t="s">
        <v>532</v>
      </c>
      <c r="C26" s="436"/>
      <c r="D26" s="436"/>
      <c r="E26" s="436"/>
      <c r="F26" s="436"/>
      <c r="G26" s="436"/>
    </row>
    <row r="27" spans="1:7" s="195" customFormat="1" ht="36" customHeight="1">
      <c r="A27" s="563"/>
      <c r="B27" s="450" t="s">
        <v>713</v>
      </c>
      <c r="C27" s="450"/>
      <c r="D27" s="450"/>
      <c r="E27" s="450"/>
      <c r="F27" s="450"/>
      <c r="G27" s="450"/>
    </row>
    <row r="28" spans="1:7" s="195" customFormat="1" ht="30.75" customHeight="1">
      <c r="A28" s="563"/>
      <c r="B28" s="450" t="s">
        <v>734</v>
      </c>
      <c r="C28" s="450"/>
      <c r="D28" s="450"/>
      <c r="E28" s="450"/>
      <c r="F28" s="450"/>
      <c r="G28" s="450"/>
    </row>
    <row r="29" spans="1:7" s="195" customFormat="1" ht="46.5" customHeight="1">
      <c r="A29" s="563"/>
      <c r="B29" s="450" t="s">
        <v>733</v>
      </c>
      <c r="C29" s="450"/>
      <c r="D29" s="450"/>
      <c r="E29" s="450"/>
      <c r="F29" s="450"/>
      <c r="G29" s="450"/>
    </row>
    <row r="30" spans="1:7" ht="16.5" customHeight="1">
      <c r="A30" s="426"/>
      <c r="B30" s="9"/>
      <c r="C30" s="9"/>
      <c r="D30" s="9"/>
      <c r="E30" s="9"/>
      <c r="F30" s="9"/>
      <c r="G30" s="9"/>
    </row>
    <row r="31" spans="1:7" ht="15.75">
      <c r="A31" s="426" t="s">
        <v>10</v>
      </c>
      <c r="B31" s="518" t="s">
        <v>41</v>
      </c>
      <c r="C31" s="518"/>
      <c r="D31" s="518"/>
      <c r="E31" s="518"/>
      <c r="F31" s="518"/>
      <c r="G31" s="518"/>
    </row>
    <row r="32" spans="1:7" ht="15.75">
      <c r="A32" s="425" t="s">
        <v>13</v>
      </c>
      <c r="B32" s="525" t="s">
        <v>234</v>
      </c>
      <c r="C32" s="525"/>
      <c r="D32" s="525"/>
      <c r="E32" s="525"/>
      <c r="F32" s="525"/>
      <c r="G32" s="525"/>
    </row>
    <row r="33" spans="1:7" ht="32.25" customHeight="1">
      <c r="A33" s="6">
        <v>1</v>
      </c>
      <c r="B33" s="502" t="s">
        <v>732</v>
      </c>
      <c r="C33" s="502"/>
      <c r="D33" s="502"/>
      <c r="E33" s="502"/>
      <c r="F33" s="502"/>
      <c r="G33" s="502"/>
    </row>
    <row r="34" spans="1:7" ht="15.75">
      <c r="A34" s="254"/>
      <c r="B34" s="255"/>
      <c r="C34" s="255"/>
      <c r="D34" s="255"/>
      <c r="E34" s="255"/>
      <c r="F34" s="255"/>
      <c r="G34" s="255"/>
    </row>
    <row r="35" spans="1:7" ht="15.75">
      <c r="A35" s="256" t="s">
        <v>11</v>
      </c>
      <c r="B35" s="255" t="s">
        <v>533</v>
      </c>
      <c r="C35" s="255"/>
      <c r="D35" s="255"/>
      <c r="E35" s="255"/>
      <c r="F35" s="255"/>
      <c r="G35" s="255"/>
    </row>
    <row r="36" spans="1:7" ht="35.25" customHeight="1">
      <c r="A36" s="256"/>
      <c r="B36" s="526" t="s">
        <v>731</v>
      </c>
      <c r="C36" s="526"/>
      <c r="D36" s="526"/>
      <c r="E36" s="526"/>
      <c r="F36" s="526"/>
      <c r="G36" s="526"/>
    </row>
    <row r="37" spans="1:7" ht="15.75">
      <c r="A37" s="426" t="s">
        <v>15</v>
      </c>
      <c r="B37" s="518" t="s">
        <v>535</v>
      </c>
      <c r="C37" s="518"/>
      <c r="D37" s="518"/>
      <c r="E37" s="518"/>
      <c r="F37" s="518"/>
      <c r="G37" s="518"/>
    </row>
    <row r="38" spans="1:7" ht="15.75">
      <c r="A38" s="425" t="s">
        <v>13</v>
      </c>
      <c r="B38" s="525" t="s">
        <v>14</v>
      </c>
      <c r="C38" s="525"/>
      <c r="D38" s="525"/>
      <c r="E38" s="525"/>
      <c r="F38" s="525"/>
      <c r="G38" s="525"/>
    </row>
    <row r="39" spans="1:7" ht="15.75" customHeight="1">
      <c r="A39" s="6">
        <v>1</v>
      </c>
      <c r="B39" s="502" t="s">
        <v>730</v>
      </c>
      <c r="C39" s="502"/>
      <c r="D39" s="502"/>
      <c r="E39" s="502"/>
      <c r="F39" s="502"/>
      <c r="G39" s="502"/>
    </row>
    <row r="40" spans="1:7" ht="18" customHeight="1">
      <c r="A40" s="6">
        <v>2</v>
      </c>
      <c r="B40" s="502" t="s">
        <v>729</v>
      </c>
      <c r="C40" s="502"/>
      <c r="D40" s="502"/>
      <c r="E40" s="502"/>
      <c r="F40" s="502"/>
      <c r="G40" s="502"/>
    </row>
    <row r="41" spans="1:7" ht="15.75">
      <c r="A41" s="426"/>
      <c r="B41" s="424"/>
      <c r="C41" s="424"/>
      <c r="D41" s="424"/>
      <c r="E41" s="424"/>
      <c r="F41" s="424"/>
      <c r="G41" s="424"/>
    </row>
    <row r="42" spans="1:7" ht="15.75">
      <c r="A42" s="426" t="s">
        <v>22</v>
      </c>
      <c r="B42" s="257" t="s">
        <v>18</v>
      </c>
      <c r="C42" s="424"/>
      <c r="D42" s="424"/>
      <c r="E42" s="424"/>
      <c r="F42" s="424"/>
      <c r="G42" s="424"/>
    </row>
    <row r="43" spans="1:7" ht="15.75">
      <c r="A43" s="254"/>
      <c r="B43" s="255" t="s">
        <v>537</v>
      </c>
      <c r="C43" s="255"/>
      <c r="D43" s="255"/>
      <c r="E43" s="255"/>
      <c r="F43" s="255"/>
      <c r="G43" s="255"/>
    </row>
    <row r="44" spans="1:7" ht="47.25">
      <c r="A44" s="425" t="s">
        <v>13</v>
      </c>
      <c r="B44" s="425" t="s">
        <v>18</v>
      </c>
      <c r="C44" s="425" t="s">
        <v>19</v>
      </c>
      <c r="D44" s="425" t="s">
        <v>20</v>
      </c>
      <c r="E44" s="425" t="s">
        <v>21</v>
      </c>
      <c r="F44" s="255"/>
      <c r="G44" s="255"/>
    </row>
    <row r="45" spans="1:7" ht="15.75">
      <c r="A45" s="425">
        <v>1</v>
      </c>
      <c r="B45" s="425">
        <v>2</v>
      </c>
      <c r="C45" s="425">
        <v>3</v>
      </c>
      <c r="D45" s="425">
        <v>4</v>
      </c>
      <c r="E45" s="425">
        <v>5</v>
      </c>
      <c r="F45" s="255"/>
      <c r="G45" s="255"/>
    </row>
    <row r="46" spans="1:7" ht="94.5">
      <c r="A46" s="425">
        <v>1</v>
      </c>
      <c r="B46" s="258" t="s">
        <v>730</v>
      </c>
      <c r="C46" s="259"/>
      <c r="D46" s="259">
        <v>6722387</v>
      </c>
      <c r="E46" s="259">
        <f>SUM(C46:D46)</f>
        <v>6722387</v>
      </c>
      <c r="F46" s="255"/>
      <c r="G46" s="255"/>
    </row>
    <row r="47" spans="1:7" ht="77.25" customHeight="1">
      <c r="A47" s="425">
        <v>2</v>
      </c>
      <c r="B47" s="258" t="s">
        <v>729</v>
      </c>
      <c r="C47" s="259"/>
      <c r="D47" s="259">
        <v>476563</v>
      </c>
      <c r="E47" s="259">
        <f>SUM(C47:D47)</f>
        <v>476563</v>
      </c>
      <c r="F47" s="255"/>
      <c r="G47" s="255"/>
    </row>
    <row r="48" spans="1:7" ht="15.75">
      <c r="A48" s="525" t="s">
        <v>21</v>
      </c>
      <c r="B48" s="525"/>
      <c r="C48" s="259">
        <f>SUM(C46:C47)</f>
        <v>0</v>
      </c>
      <c r="D48" s="259">
        <f>SUM(D46:D47)</f>
        <v>7198950</v>
      </c>
      <c r="E48" s="259">
        <f>SUM(E46:E47)</f>
        <v>7198950</v>
      </c>
      <c r="F48" s="255"/>
      <c r="G48" s="255"/>
    </row>
    <row r="49" spans="1:7" ht="15.75">
      <c r="A49" s="254"/>
      <c r="B49" s="255"/>
      <c r="C49" s="255"/>
      <c r="D49" s="255"/>
      <c r="E49" s="255"/>
      <c r="F49" s="255"/>
      <c r="G49" s="255"/>
    </row>
    <row r="50" spans="1:7" ht="15.75">
      <c r="A50" s="530" t="s">
        <v>194</v>
      </c>
      <c r="B50" s="518" t="s">
        <v>23</v>
      </c>
      <c r="C50" s="518"/>
      <c r="D50" s="518"/>
      <c r="E50" s="518"/>
      <c r="F50" s="518"/>
      <c r="G50" s="518"/>
    </row>
    <row r="51" spans="1:7" ht="15.75">
      <c r="A51" s="530"/>
      <c r="B51" s="260" t="s">
        <v>17</v>
      </c>
      <c r="C51" s="255"/>
      <c r="D51" s="255"/>
      <c r="E51" s="255"/>
      <c r="F51" s="255"/>
      <c r="G51" s="255"/>
    </row>
    <row r="52" spans="1:7" ht="63">
      <c r="A52" s="425" t="s">
        <v>13</v>
      </c>
      <c r="B52" s="425" t="s">
        <v>193</v>
      </c>
      <c r="C52" s="425" t="s">
        <v>19</v>
      </c>
      <c r="D52" s="425" t="s">
        <v>20</v>
      </c>
      <c r="E52" s="425" t="s">
        <v>21</v>
      </c>
      <c r="F52" s="255"/>
      <c r="G52" s="255"/>
    </row>
    <row r="53" spans="1:7" ht="15.75">
      <c r="A53" s="425">
        <v>1</v>
      </c>
      <c r="B53" s="425">
        <v>2</v>
      </c>
      <c r="C53" s="425">
        <v>3</v>
      </c>
      <c r="D53" s="425">
        <v>4</v>
      </c>
      <c r="E53" s="425">
        <v>5</v>
      </c>
      <c r="F53" s="255"/>
      <c r="G53" s="255"/>
    </row>
    <row r="54" spans="1:7" ht="132.75" customHeight="1">
      <c r="A54" s="425">
        <v>1</v>
      </c>
      <c r="B54" s="415" t="s">
        <v>574</v>
      </c>
      <c r="C54" s="259">
        <f>SUM(C48)</f>
        <v>0</v>
      </c>
      <c r="D54" s="259">
        <f>SUM(D48)</f>
        <v>7198950</v>
      </c>
      <c r="E54" s="259">
        <f>SUM(C54:D54)</f>
        <v>7198950</v>
      </c>
      <c r="F54" s="255"/>
      <c r="G54" s="255"/>
    </row>
    <row r="55" spans="1:7" ht="15.75">
      <c r="A55" s="525" t="s">
        <v>21</v>
      </c>
      <c r="B55" s="525"/>
      <c r="C55" s="259">
        <f>SUM(C54)</f>
        <v>0</v>
      </c>
      <c r="D55" s="259">
        <f>SUM(D54)</f>
        <v>7198950</v>
      </c>
      <c r="E55" s="259">
        <f>SUM(E54)</f>
        <v>7198950</v>
      </c>
      <c r="F55" s="255"/>
      <c r="G55" s="255"/>
    </row>
    <row r="56" spans="1:7" ht="15.75">
      <c r="A56" s="254"/>
      <c r="B56" s="255"/>
      <c r="C56" s="255"/>
      <c r="D56" s="255"/>
      <c r="E56" s="255"/>
      <c r="F56" s="255"/>
      <c r="G56" s="255"/>
    </row>
    <row r="57" spans="1:7" ht="15.75">
      <c r="A57" s="426" t="s">
        <v>47</v>
      </c>
      <c r="B57" s="518" t="s">
        <v>195</v>
      </c>
      <c r="C57" s="518"/>
      <c r="D57" s="518"/>
      <c r="E57" s="518"/>
      <c r="F57" s="518"/>
      <c r="G57" s="518"/>
    </row>
    <row r="58" spans="1:7" ht="46.5" customHeight="1">
      <c r="A58" s="425" t="s">
        <v>13</v>
      </c>
      <c r="B58" s="425" t="s">
        <v>196</v>
      </c>
      <c r="C58" s="425" t="s">
        <v>197</v>
      </c>
      <c r="D58" s="425" t="s">
        <v>198</v>
      </c>
      <c r="E58" s="425" t="s">
        <v>19</v>
      </c>
      <c r="F58" s="425" t="s">
        <v>20</v>
      </c>
      <c r="G58" s="425" t="s">
        <v>21</v>
      </c>
    </row>
    <row r="59" spans="1:7" ht="15.75">
      <c r="A59" s="425">
        <v>1</v>
      </c>
      <c r="B59" s="425">
        <v>2</v>
      </c>
      <c r="C59" s="425">
        <v>3</v>
      </c>
      <c r="D59" s="425">
        <v>4</v>
      </c>
      <c r="E59" s="425">
        <v>5</v>
      </c>
      <c r="F59" s="425">
        <v>6</v>
      </c>
      <c r="G59" s="425">
        <v>7</v>
      </c>
    </row>
    <row r="60" spans="1:7" ht="15.75" customHeight="1">
      <c r="A60" s="425"/>
      <c r="B60" s="562" t="s">
        <v>728</v>
      </c>
      <c r="C60" s="562"/>
      <c r="D60" s="562"/>
      <c r="E60" s="562"/>
      <c r="F60" s="562"/>
      <c r="G60" s="562"/>
    </row>
    <row r="61" spans="1:7" ht="15.75">
      <c r="A61" s="6">
        <v>1</v>
      </c>
      <c r="B61" s="7" t="s">
        <v>199</v>
      </c>
      <c r="C61" s="6"/>
      <c r="D61" s="6"/>
      <c r="E61" s="425"/>
      <c r="F61" s="425"/>
      <c r="G61" s="425"/>
    </row>
    <row r="62" spans="1:7" ht="15.75">
      <c r="A62" s="6"/>
      <c r="B62" s="7" t="s">
        <v>57</v>
      </c>
      <c r="C62" s="6" t="s">
        <v>537</v>
      </c>
      <c r="D62" s="6" t="s">
        <v>61</v>
      </c>
      <c r="E62" s="259">
        <f>SUM(C46)</f>
        <v>0</v>
      </c>
      <c r="F62" s="259">
        <f>SUM(E46)</f>
        <v>6722387</v>
      </c>
      <c r="G62" s="259">
        <f>SUM(E62:F62)</f>
        <v>6722387</v>
      </c>
    </row>
    <row r="63" spans="1:7" ht="15.75">
      <c r="A63" s="6">
        <v>2</v>
      </c>
      <c r="B63" s="7" t="s">
        <v>200</v>
      </c>
      <c r="C63" s="6"/>
      <c r="D63" s="6"/>
      <c r="E63" s="425"/>
      <c r="F63" s="425"/>
      <c r="G63" s="425"/>
    </row>
    <row r="64" spans="1:7" ht="63.75" customHeight="1">
      <c r="A64" s="7"/>
      <c r="B64" s="7" t="s">
        <v>727</v>
      </c>
      <c r="C64" s="6" t="s">
        <v>251</v>
      </c>
      <c r="D64" s="6" t="s">
        <v>70</v>
      </c>
      <c r="E64" s="425"/>
      <c r="F64" s="425">
        <v>12</v>
      </c>
      <c r="G64" s="425">
        <f>SUM(E64:F64)</f>
        <v>12</v>
      </c>
    </row>
    <row r="65" spans="1:7" ht="15.75">
      <c r="A65" s="6">
        <v>3</v>
      </c>
      <c r="B65" s="7" t="s">
        <v>201</v>
      </c>
      <c r="C65" s="6"/>
      <c r="D65" s="6"/>
      <c r="E65" s="425"/>
      <c r="F65" s="425"/>
      <c r="G65" s="425"/>
    </row>
    <row r="66" spans="1:7" ht="79.5" customHeight="1">
      <c r="A66" s="6"/>
      <c r="B66" s="7" t="s">
        <v>726</v>
      </c>
      <c r="C66" s="6" t="s">
        <v>537</v>
      </c>
      <c r="D66" s="6" t="s">
        <v>70</v>
      </c>
      <c r="E66" s="259"/>
      <c r="F66" s="259">
        <f>SUM(F62/F64)</f>
        <v>560198.9166666666</v>
      </c>
      <c r="G66" s="259">
        <f>SUM(E66:F66)</f>
        <v>560198.9166666666</v>
      </c>
    </row>
    <row r="67" spans="1:7" ht="15.75">
      <c r="A67" s="6">
        <v>4</v>
      </c>
      <c r="B67" s="7" t="s">
        <v>202</v>
      </c>
      <c r="C67" s="6"/>
      <c r="D67" s="6"/>
      <c r="E67" s="425"/>
      <c r="F67" s="425"/>
      <c r="G67" s="425"/>
    </row>
    <row r="68" spans="1:7" ht="63">
      <c r="A68" s="6"/>
      <c r="B68" s="7" t="s">
        <v>542</v>
      </c>
      <c r="C68" s="6" t="s">
        <v>71</v>
      </c>
      <c r="D68" s="6" t="s">
        <v>70</v>
      </c>
      <c r="E68" s="425"/>
      <c r="F68" s="425">
        <v>100</v>
      </c>
      <c r="G68" s="425">
        <f>SUM(E68:F68)</f>
        <v>100</v>
      </c>
    </row>
    <row r="69" spans="1:7" ht="16.5" customHeight="1">
      <c r="A69" s="425"/>
      <c r="B69" s="562" t="s">
        <v>725</v>
      </c>
      <c r="C69" s="562"/>
      <c r="D69" s="562"/>
      <c r="E69" s="562"/>
      <c r="F69" s="562"/>
      <c r="G69" s="562"/>
    </row>
    <row r="70" spans="1:7" ht="15.75">
      <c r="A70" s="6">
        <v>1</v>
      </c>
      <c r="B70" s="7" t="s">
        <v>199</v>
      </c>
      <c r="C70" s="6"/>
      <c r="D70" s="6"/>
      <c r="E70" s="425"/>
      <c r="F70" s="425"/>
      <c r="G70" s="425"/>
    </row>
    <row r="71" spans="1:7" ht="15.75">
      <c r="A71" s="6"/>
      <c r="B71" s="7" t="s">
        <v>57</v>
      </c>
      <c r="C71" s="6" t="s">
        <v>537</v>
      </c>
      <c r="D71" s="6" t="s">
        <v>61</v>
      </c>
      <c r="E71" s="259">
        <f>SUM(C47)</f>
        <v>0</v>
      </c>
      <c r="F71" s="259">
        <f>SUM(E47)</f>
        <v>476563</v>
      </c>
      <c r="G71" s="259">
        <f>SUM(E71:F71)</f>
        <v>476563</v>
      </c>
    </row>
    <row r="72" spans="1:7" ht="15.75">
      <c r="A72" s="6">
        <v>2</v>
      </c>
      <c r="B72" s="7" t="s">
        <v>200</v>
      </c>
      <c r="C72" s="6"/>
      <c r="D72" s="6"/>
      <c r="E72" s="425"/>
      <c r="F72" s="425"/>
      <c r="G72" s="425"/>
    </row>
    <row r="73" spans="1:7" ht="95.25" customHeight="1">
      <c r="A73" s="7"/>
      <c r="B73" s="7" t="s">
        <v>724</v>
      </c>
      <c r="C73" s="6" t="s">
        <v>251</v>
      </c>
      <c r="D73" s="6" t="s">
        <v>70</v>
      </c>
      <c r="E73" s="425"/>
      <c r="F73" s="425">
        <v>10</v>
      </c>
      <c r="G73" s="425">
        <f>SUM(E73:F73)</f>
        <v>10</v>
      </c>
    </row>
    <row r="74" spans="1:7" ht="15.75">
      <c r="A74" s="6">
        <v>3</v>
      </c>
      <c r="B74" s="7" t="s">
        <v>201</v>
      </c>
      <c r="C74" s="6"/>
      <c r="D74" s="6"/>
      <c r="E74" s="425"/>
      <c r="F74" s="425"/>
      <c r="G74" s="425"/>
    </row>
    <row r="75" spans="1:7" ht="111" customHeight="1">
      <c r="A75" s="6"/>
      <c r="B75" s="7" t="s">
        <v>723</v>
      </c>
      <c r="C75" s="6" t="s">
        <v>537</v>
      </c>
      <c r="D75" s="6" t="s">
        <v>70</v>
      </c>
      <c r="E75" s="259"/>
      <c r="F75" s="259">
        <f>SUM(F71/F73)</f>
        <v>47656.3</v>
      </c>
      <c r="G75" s="259">
        <f>SUM(E75:F75)</f>
        <v>47656.3</v>
      </c>
    </row>
    <row r="76" spans="1:7" ht="15.75">
      <c r="A76" s="6">
        <v>4</v>
      </c>
      <c r="B76" s="7" t="s">
        <v>202</v>
      </c>
      <c r="C76" s="6"/>
      <c r="D76" s="6"/>
      <c r="E76" s="425"/>
      <c r="F76" s="425"/>
      <c r="G76" s="425"/>
    </row>
    <row r="77" spans="1:7" ht="63">
      <c r="A77" s="6"/>
      <c r="B77" s="7" t="s">
        <v>542</v>
      </c>
      <c r="C77" s="6" t="s">
        <v>71</v>
      </c>
      <c r="D77" s="6" t="s">
        <v>70</v>
      </c>
      <c r="E77" s="425"/>
      <c r="F77" s="425">
        <v>100</v>
      </c>
      <c r="G77" s="425">
        <f>SUM(E77:F77)</f>
        <v>100</v>
      </c>
    </row>
    <row r="78" ht="15.75">
      <c r="A78" s="254"/>
    </row>
    <row r="79" spans="1:7" ht="15.75">
      <c r="A79" s="560" t="s">
        <v>73</v>
      </c>
      <c r="B79" s="560"/>
      <c r="C79" s="560"/>
      <c r="D79" s="559"/>
      <c r="E79" s="558"/>
      <c r="F79" s="557" t="s">
        <v>74</v>
      </c>
      <c r="G79" s="557"/>
    </row>
    <row r="80" spans="1:7" ht="15.75">
      <c r="A80" s="561"/>
      <c r="B80" s="426"/>
      <c r="D80" s="555" t="s">
        <v>203</v>
      </c>
      <c r="F80" s="556" t="s">
        <v>720</v>
      </c>
      <c r="G80" s="556"/>
    </row>
    <row r="81" spans="1:4" ht="15.75">
      <c r="A81" s="518" t="s">
        <v>204</v>
      </c>
      <c r="B81" s="518"/>
      <c r="C81" s="426"/>
      <c r="D81" s="426"/>
    </row>
    <row r="82" spans="1:4" ht="15.75">
      <c r="A82" s="257" t="s">
        <v>722</v>
      </c>
      <c r="B82" s="424"/>
      <c r="C82" s="426"/>
      <c r="D82" s="426"/>
    </row>
    <row r="83" spans="1:7" ht="15.75">
      <c r="A83" s="560" t="s">
        <v>721</v>
      </c>
      <c r="B83" s="560"/>
      <c r="C83" s="560"/>
      <c r="D83" s="559"/>
      <c r="E83" s="558"/>
      <c r="F83" s="557" t="s">
        <v>76</v>
      </c>
      <c r="G83" s="557"/>
    </row>
    <row r="84" spans="1:7" ht="15.75">
      <c r="A84" s="260"/>
      <c r="B84" s="426"/>
      <c r="C84" s="426"/>
      <c r="D84" s="555" t="s">
        <v>203</v>
      </c>
      <c r="F84" s="556" t="s">
        <v>720</v>
      </c>
      <c r="G84" s="556"/>
    </row>
    <row r="85" spans="1:7" ht="15.75">
      <c r="A85" s="260"/>
      <c r="B85" s="426"/>
      <c r="C85" s="426"/>
      <c r="D85" s="555"/>
      <c r="F85" s="554"/>
      <c r="G85" s="554"/>
    </row>
    <row r="86" spans="1:2" ht="15">
      <c r="A86" s="553" t="s">
        <v>162</v>
      </c>
      <c r="B86" s="553"/>
    </row>
    <row r="87" ht="15">
      <c r="A87" s="552" t="s">
        <v>719</v>
      </c>
    </row>
  </sheetData>
  <sheetProtection/>
  <mergeCells count="44">
    <mergeCell ref="F84:G84"/>
    <mergeCell ref="A86:B86"/>
    <mergeCell ref="A79:C79"/>
    <mergeCell ref="F79:G79"/>
    <mergeCell ref="F80:G80"/>
    <mergeCell ref="A81:B81"/>
    <mergeCell ref="A83:C83"/>
    <mergeCell ref="F83:G83"/>
    <mergeCell ref="A50:A51"/>
    <mergeCell ref="B50:G50"/>
    <mergeCell ref="A55:B55"/>
    <mergeCell ref="B57:G57"/>
    <mergeCell ref="B60:G60"/>
    <mergeCell ref="B69:G69"/>
    <mergeCell ref="B36:G36"/>
    <mergeCell ref="B37:G37"/>
    <mergeCell ref="B38:G38"/>
    <mergeCell ref="B39:G39"/>
    <mergeCell ref="B40:G40"/>
    <mergeCell ref="A48:B48"/>
    <mergeCell ref="B27:G27"/>
    <mergeCell ref="B28:G28"/>
    <mergeCell ref="B29:G29"/>
    <mergeCell ref="B31:G31"/>
    <mergeCell ref="B32:G32"/>
    <mergeCell ref="B33:G33"/>
    <mergeCell ref="E18:F18"/>
    <mergeCell ref="B22:G22"/>
    <mergeCell ref="B23:G23"/>
    <mergeCell ref="B24:G24"/>
    <mergeCell ref="B25:G25"/>
    <mergeCell ref="B26:G26"/>
    <mergeCell ref="A11:G11"/>
    <mergeCell ref="D13:F13"/>
    <mergeCell ref="D14:E14"/>
    <mergeCell ref="D15:F15"/>
    <mergeCell ref="D16:E16"/>
    <mergeCell ref="E17:F17"/>
    <mergeCell ref="E1:G2"/>
    <mergeCell ref="E5:G5"/>
    <mergeCell ref="E6:G6"/>
    <mergeCell ref="E7:G7"/>
    <mergeCell ref="E8:G8"/>
    <mergeCell ref="A10:G10"/>
  </mergeCells>
  <printOptions/>
  <pageMargins left="0.1968503937007874" right="0.1968503937007874" top="1.1811023622047245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216"/>
  <sheetViews>
    <sheetView zoomScalePageLayoutView="0" workbookViewId="0" topLeftCell="A190">
      <selection activeCell="F203" sqref="F203"/>
    </sheetView>
  </sheetViews>
  <sheetFormatPr defaultColWidth="21.57421875" defaultRowHeight="15"/>
  <cols>
    <col min="1" max="1" width="6.57421875" style="4" customWidth="1"/>
    <col min="2" max="2" width="31.00390625" style="4" customWidth="1"/>
    <col min="3" max="16384" width="21.57421875" style="4" customWidth="1"/>
  </cols>
  <sheetData>
    <row r="1" spans="5:7" ht="77.25" customHeight="1">
      <c r="E1" s="484" t="s">
        <v>298</v>
      </c>
      <c r="F1" s="471"/>
      <c r="G1" s="471"/>
    </row>
    <row r="2" spans="1:5" ht="15.75">
      <c r="A2" s="1"/>
      <c r="E2" s="1"/>
    </row>
    <row r="3" spans="1:5" ht="15.75">
      <c r="A3" s="1"/>
      <c r="E3" s="1" t="s">
        <v>166</v>
      </c>
    </row>
    <row r="4" spans="1:7" ht="15.75" customHeight="1">
      <c r="A4" s="1"/>
      <c r="E4" s="468" t="s">
        <v>89</v>
      </c>
      <c r="F4" s="468"/>
      <c r="G4" s="468"/>
    </row>
    <row r="5" spans="1:7" ht="15.75">
      <c r="A5" s="1"/>
      <c r="B5" s="1"/>
      <c r="E5" s="485" t="s">
        <v>207</v>
      </c>
      <c r="F5" s="485"/>
      <c r="G5" s="485"/>
    </row>
    <row r="6" spans="1:7" ht="15" customHeight="1">
      <c r="A6" s="1"/>
      <c r="E6" s="486" t="s">
        <v>167</v>
      </c>
      <c r="F6" s="486"/>
      <c r="G6" s="486"/>
    </row>
    <row r="7" spans="5:7" ht="15">
      <c r="E7" s="443" t="s">
        <v>94</v>
      </c>
      <c r="F7" s="471"/>
      <c r="G7" s="471"/>
    </row>
    <row r="9" spans="1:7" ht="15" customHeight="1">
      <c r="A9" s="455" t="s">
        <v>168</v>
      </c>
      <c r="B9" s="455"/>
      <c r="C9" s="455"/>
      <c r="D9" s="455"/>
      <c r="E9" s="455"/>
      <c r="F9" s="455"/>
      <c r="G9" s="455"/>
    </row>
    <row r="10" spans="1:7" ht="22.5" customHeight="1">
      <c r="A10" s="455" t="s">
        <v>315</v>
      </c>
      <c r="B10" s="455"/>
      <c r="C10" s="455"/>
      <c r="D10" s="455"/>
      <c r="E10" s="455"/>
      <c r="F10" s="455"/>
      <c r="G10" s="455"/>
    </row>
    <row r="11" spans="1:7" ht="15" customHeight="1">
      <c r="A11" s="156"/>
      <c r="B11" s="156"/>
      <c r="C11" s="156"/>
      <c r="D11" s="156"/>
      <c r="E11" s="156"/>
      <c r="F11" s="156"/>
      <c r="G11" s="156"/>
    </row>
    <row r="12" spans="1:7" ht="15" customHeight="1">
      <c r="A12" s="214" t="s">
        <v>304</v>
      </c>
      <c r="B12" s="402" t="s">
        <v>478</v>
      </c>
      <c r="C12" s="210"/>
      <c r="D12" s="456" t="s">
        <v>207</v>
      </c>
      <c r="E12" s="457"/>
      <c r="F12" s="458"/>
      <c r="G12" s="190">
        <v>38068238</v>
      </c>
    </row>
    <row r="13" spans="2:7" ht="29.25" customHeight="1">
      <c r="B13" s="401" t="s">
        <v>308</v>
      </c>
      <c r="C13" s="196"/>
      <c r="D13" s="459" t="s">
        <v>167</v>
      </c>
      <c r="E13" s="459"/>
      <c r="F13" s="212"/>
      <c r="G13" s="192" t="s">
        <v>305</v>
      </c>
    </row>
    <row r="14" spans="1:7" ht="20.25" customHeight="1">
      <c r="A14" s="213" t="s">
        <v>306</v>
      </c>
      <c r="B14" s="402" t="s">
        <v>479</v>
      </c>
      <c r="C14" s="211"/>
      <c r="D14" s="460" t="s">
        <v>207</v>
      </c>
      <c r="E14" s="461"/>
      <c r="F14" s="462"/>
      <c r="G14" s="193">
        <v>38068238</v>
      </c>
    </row>
    <row r="15" spans="1:7" ht="35.25" customHeight="1">
      <c r="A15" s="213"/>
      <c r="B15" s="401" t="s">
        <v>308</v>
      </c>
      <c r="C15" s="196"/>
      <c r="D15" s="463" t="s">
        <v>205</v>
      </c>
      <c r="E15" s="463"/>
      <c r="F15" s="212"/>
      <c r="G15" s="192" t="s">
        <v>305</v>
      </c>
    </row>
    <row r="16" spans="1:7" ht="36" customHeight="1">
      <c r="A16" s="194" t="s">
        <v>307</v>
      </c>
      <c r="B16" s="402" t="s">
        <v>400</v>
      </c>
      <c r="C16" s="402" t="s">
        <v>401</v>
      </c>
      <c r="D16" s="402" t="s">
        <v>131</v>
      </c>
      <c r="E16" s="464" t="s">
        <v>399</v>
      </c>
      <c r="F16" s="464"/>
      <c r="G16" s="402" t="s">
        <v>477</v>
      </c>
    </row>
    <row r="17" spans="1:7" ht="45" customHeight="1">
      <c r="A17" s="195"/>
      <c r="B17" s="196" t="s">
        <v>308</v>
      </c>
      <c r="C17" s="401" t="s">
        <v>309</v>
      </c>
      <c r="D17" s="191" t="s">
        <v>310</v>
      </c>
      <c r="E17" s="454" t="s">
        <v>311</v>
      </c>
      <c r="F17" s="454"/>
      <c r="G17" s="401" t="s">
        <v>312</v>
      </c>
    </row>
    <row r="18" ht="15.75" customHeight="1"/>
    <row r="19" spans="1:7" ht="51" customHeight="1">
      <c r="A19" s="2" t="s">
        <v>172</v>
      </c>
      <c r="B19" s="9" t="s">
        <v>210</v>
      </c>
      <c r="C19" s="95">
        <f>E19+G19</f>
        <v>19612506.67</v>
      </c>
      <c r="D19" s="9" t="s">
        <v>43</v>
      </c>
      <c r="E19" s="95">
        <f>14050421+1110869.37+128616.3-1208676.87+3522600+800000</f>
        <v>18403829.8</v>
      </c>
      <c r="F19" s="9" t="s">
        <v>44</v>
      </c>
      <c r="G19" s="95">
        <v>1208676.87</v>
      </c>
    </row>
    <row r="20" spans="1:7" ht="17.25" customHeight="1">
      <c r="A20" s="2"/>
      <c r="B20" s="9"/>
      <c r="C20" s="95"/>
      <c r="D20" s="9"/>
      <c r="E20" s="95"/>
      <c r="F20" s="9"/>
      <c r="G20" s="95"/>
    </row>
    <row r="21" spans="1:7" ht="15.75">
      <c r="A21" s="2" t="s">
        <v>9</v>
      </c>
      <c r="B21" s="436" t="s">
        <v>209</v>
      </c>
      <c r="C21" s="436"/>
      <c r="D21" s="436"/>
      <c r="E21" s="436"/>
      <c r="F21" s="436"/>
      <c r="G21" s="436"/>
    </row>
    <row r="22" spans="1:7" ht="21" customHeight="1">
      <c r="A22" s="2"/>
      <c r="B22" s="436" t="s">
        <v>136</v>
      </c>
      <c r="C22" s="436"/>
      <c r="D22" s="436"/>
      <c r="E22" s="436"/>
      <c r="F22" s="436"/>
      <c r="G22" s="436"/>
    </row>
    <row r="23" spans="1:7" ht="15.75" customHeight="1">
      <c r="A23" s="2"/>
      <c r="B23" s="436" t="s">
        <v>215</v>
      </c>
      <c r="C23" s="436"/>
      <c r="D23" s="436"/>
      <c r="E23" s="436"/>
      <c r="F23" s="436"/>
      <c r="G23" s="436"/>
    </row>
    <row r="24" spans="1:7" ht="19.5" customHeight="1">
      <c r="A24" s="2"/>
      <c r="B24" s="436" t="s">
        <v>246</v>
      </c>
      <c r="C24" s="436"/>
      <c r="D24" s="436"/>
      <c r="E24" s="436"/>
      <c r="F24" s="436"/>
      <c r="G24" s="436"/>
    </row>
    <row r="25" spans="1:7" ht="33.75" customHeight="1">
      <c r="A25" s="2"/>
      <c r="B25" s="436" t="s">
        <v>137</v>
      </c>
      <c r="C25" s="436"/>
      <c r="D25" s="436"/>
      <c r="E25" s="436"/>
      <c r="F25" s="436"/>
      <c r="G25" s="436"/>
    </row>
    <row r="26" spans="1:7" ht="33.75" customHeight="1">
      <c r="A26" s="2"/>
      <c r="B26" s="436" t="s">
        <v>144</v>
      </c>
      <c r="C26" s="436"/>
      <c r="D26" s="436"/>
      <c r="E26" s="436"/>
      <c r="F26" s="436"/>
      <c r="G26" s="436"/>
    </row>
    <row r="27" spans="1:7" ht="23.25" customHeight="1">
      <c r="A27" s="2"/>
      <c r="B27" s="483" t="s">
        <v>481</v>
      </c>
      <c r="C27" s="483"/>
      <c r="D27" s="483"/>
      <c r="E27" s="483"/>
      <c r="F27" s="483"/>
      <c r="G27" s="483"/>
    </row>
    <row r="28" spans="1:7" ht="33.75" customHeight="1">
      <c r="A28" s="2"/>
      <c r="B28" s="483" t="s">
        <v>482</v>
      </c>
      <c r="C28" s="483"/>
      <c r="D28" s="483"/>
      <c r="E28" s="483"/>
      <c r="F28" s="483"/>
      <c r="G28" s="483"/>
    </row>
    <row r="29" spans="1:7" ht="35.25" customHeight="1">
      <c r="A29" s="2"/>
      <c r="B29" s="483" t="s">
        <v>483</v>
      </c>
      <c r="C29" s="483"/>
      <c r="D29" s="483"/>
      <c r="E29" s="483"/>
      <c r="F29" s="483"/>
      <c r="G29" s="483"/>
    </row>
    <row r="30" spans="1:7" ht="21" customHeight="1">
      <c r="A30" s="2"/>
      <c r="B30" s="107"/>
      <c r="C30" s="107"/>
      <c r="D30" s="107"/>
      <c r="E30" s="107"/>
      <c r="F30" s="107"/>
      <c r="G30" s="107"/>
    </row>
    <row r="31" spans="1:7" ht="16.5" customHeight="1">
      <c r="A31" s="2" t="s">
        <v>10</v>
      </c>
      <c r="B31" s="436" t="s">
        <v>41</v>
      </c>
      <c r="C31" s="436"/>
      <c r="D31" s="436"/>
      <c r="E31" s="436"/>
      <c r="F31" s="436"/>
      <c r="G31" s="436"/>
    </row>
    <row r="32" spans="1:7" ht="16.5" customHeight="1">
      <c r="A32" s="2"/>
      <c r="B32" s="9"/>
      <c r="C32" s="9"/>
      <c r="D32" s="9"/>
      <c r="E32" s="9"/>
      <c r="F32" s="9"/>
      <c r="G32" s="9"/>
    </row>
    <row r="33" spans="1:7" ht="16.5" customHeight="1">
      <c r="A33" s="6" t="s">
        <v>233</v>
      </c>
      <c r="B33" s="451" t="s">
        <v>234</v>
      </c>
      <c r="C33" s="452"/>
      <c r="D33" s="452"/>
      <c r="E33" s="452"/>
      <c r="F33" s="452"/>
      <c r="G33" s="453"/>
    </row>
    <row r="34" spans="1:7" ht="29.25" customHeight="1">
      <c r="A34" s="6">
        <v>1</v>
      </c>
      <c r="B34" s="445" t="s">
        <v>98</v>
      </c>
      <c r="C34" s="446"/>
      <c r="D34" s="446"/>
      <c r="E34" s="446"/>
      <c r="F34" s="446"/>
      <c r="G34" s="447"/>
    </row>
    <row r="35" spans="1:7" ht="37.5" customHeight="1">
      <c r="A35" s="2" t="s">
        <v>11</v>
      </c>
      <c r="B35" s="436" t="s">
        <v>133</v>
      </c>
      <c r="C35" s="436"/>
      <c r="D35" s="436"/>
      <c r="E35" s="436"/>
      <c r="F35" s="436"/>
      <c r="G35" s="436"/>
    </row>
    <row r="36" spans="1:4" ht="31.5" customHeight="1">
      <c r="A36" s="2" t="s">
        <v>15</v>
      </c>
      <c r="B36" s="443" t="s">
        <v>12</v>
      </c>
      <c r="C36" s="443"/>
      <c r="D36" s="443"/>
    </row>
    <row r="37" spans="1:7" ht="15.75">
      <c r="A37" s="6" t="s">
        <v>13</v>
      </c>
      <c r="B37" s="444" t="s">
        <v>14</v>
      </c>
      <c r="C37" s="444"/>
      <c r="D37" s="444"/>
      <c r="E37" s="444"/>
      <c r="F37" s="444"/>
      <c r="G37" s="444"/>
    </row>
    <row r="38" spans="1:7" ht="17.25" customHeight="1">
      <c r="A38" s="6" t="s">
        <v>169</v>
      </c>
      <c r="B38" s="482" t="s">
        <v>183</v>
      </c>
      <c r="C38" s="482"/>
      <c r="D38" s="482"/>
      <c r="E38" s="482"/>
      <c r="F38" s="482"/>
      <c r="G38" s="482"/>
    </row>
    <row r="39" spans="1:7" ht="18" customHeight="1">
      <c r="A39" s="6" t="s">
        <v>170</v>
      </c>
      <c r="B39" s="482" t="s">
        <v>249</v>
      </c>
      <c r="C39" s="482"/>
      <c r="D39" s="482"/>
      <c r="E39" s="482"/>
      <c r="F39" s="482"/>
      <c r="G39" s="482"/>
    </row>
    <row r="40" spans="1:7" ht="16.5">
      <c r="A40" s="110" t="s">
        <v>171</v>
      </c>
      <c r="B40" s="479" t="s">
        <v>406</v>
      </c>
      <c r="C40" s="480"/>
      <c r="D40" s="480"/>
      <c r="E40" s="480"/>
      <c r="F40" s="480"/>
      <c r="G40" s="481"/>
    </row>
    <row r="41" spans="1:7" ht="16.5">
      <c r="A41" s="110" t="s">
        <v>172</v>
      </c>
      <c r="B41" s="479" t="s">
        <v>594</v>
      </c>
      <c r="C41" s="480"/>
      <c r="D41" s="480"/>
      <c r="E41" s="480"/>
      <c r="F41" s="480"/>
      <c r="G41" s="481"/>
    </row>
    <row r="42" spans="1:7" ht="16.5">
      <c r="A42" s="110" t="s">
        <v>9</v>
      </c>
      <c r="B42" s="479" t="s">
        <v>667</v>
      </c>
      <c r="C42" s="480"/>
      <c r="D42" s="480"/>
      <c r="E42" s="480"/>
      <c r="F42" s="480"/>
      <c r="G42" s="481"/>
    </row>
    <row r="43" spans="1:7" ht="15.75">
      <c r="A43" s="51"/>
      <c r="B43" s="59"/>
      <c r="C43" s="109"/>
      <c r="D43" s="109"/>
      <c r="E43" s="109"/>
      <c r="F43" s="109"/>
      <c r="G43" s="109"/>
    </row>
    <row r="44" spans="1:7" ht="15.75">
      <c r="A44" s="435">
        <v>9</v>
      </c>
      <c r="B44" s="436" t="s">
        <v>16</v>
      </c>
      <c r="C44" s="436"/>
      <c r="D44" s="436"/>
      <c r="E44" s="436"/>
      <c r="F44" s="436"/>
      <c r="G44" s="436"/>
    </row>
    <row r="45" spans="1:2" ht="15.75">
      <c r="A45" s="435"/>
      <c r="B45" s="1" t="s">
        <v>17</v>
      </c>
    </row>
    <row r="46" ht="15.75">
      <c r="A46" s="3"/>
    </row>
    <row r="47" spans="1:5" ht="31.5">
      <c r="A47" s="6" t="s">
        <v>13</v>
      </c>
      <c r="B47" s="6" t="s">
        <v>18</v>
      </c>
      <c r="C47" s="6" t="s">
        <v>19</v>
      </c>
      <c r="D47" s="6" t="s">
        <v>20</v>
      </c>
      <c r="E47" s="6" t="s">
        <v>21</v>
      </c>
    </row>
    <row r="48" spans="1:5" ht="15.75">
      <c r="A48" s="6">
        <v>1</v>
      </c>
      <c r="B48" s="6">
        <v>2</v>
      </c>
      <c r="C48" s="6">
        <v>3</v>
      </c>
      <c r="D48" s="6">
        <v>4</v>
      </c>
      <c r="E48" s="6">
        <v>6</v>
      </c>
    </row>
    <row r="49" spans="1:5" ht="43.5" customHeight="1">
      <c r="A49" s="6" t="s">
        <v>169</v>
      </c>
      <c r="B49" s="31" t="s">
        <v>42</v>
      </c>
      <c r="C49" s="13">
        <f>E70</f>
        <v>4115081.15</v>
      </c>
      <c r="D49" s="13" t="s">
        <v>109</v>
      </c>
      <c r="E49" s="13">
        <f>C49</f>
        <v>4115081.15</v>
      </c>
    </row>
    <row r="50" spans="1:5" ht="45">
      <c r="A50" s="6" t="s">
        <v>170</v>
      </c>
      <c r="B50" s="31" t="s">
        <v>160</v>
      </c>
      <c r="C50" s="13">
        <f>E112</f>
        <v>8812214.74</v>
      </c>
      <c r="D50" s="13" t="s">
        <v>109</v>
      </c>
      <c r="E50" s="13">
        <f>C50</f>
        <v>8812214.74</v>
      </c>
    </row>
    <row r="51" spans="1:5" ht="60">
      <c r="A51" s="6" t="s">
        <v>171</v>
      </c>
      <c r="B51" s="31" t="s">
        <v>412</v>
      </c>
      <c r="C51" s="13">
        <f>G144</f>
        <v>5466721</v>
      </c>
      <c r="D51" s="13" t="s">
        <v>109</v>
      </c>
      <c r="E51" s="13">
        <f>C51</f>
        <v>5466721</v>
      </c>
    </row>
    <row r="52" spans="1:5" ht="30">
      <c r="A52" s="6">
        <v>4</v>
      </c>
      <c r="B52" s="31" t="s">
        <v>593</v>
      </c>
      <c r="C52" s="13">
        <f>E182</f>
        <v>9812.85</v>
      </c>
      <c r="D52" s="13">
        <f>F182</f>
        <v>1206899</v>
      </c>
      <c r="E52" s="13">
        <f>C52+D52</f>
        <v>1216711.85</v>
      </c>
    </row>
    <row r="53" spans="1:5" ht="47.25" customHeight="1">
      <c r="A53" s="6">
        <v>4</v>
      </c>
      <c r="B53" s="31" t="s">
        <v>668</v>
      </c>
      <c r="C53" s="13">
        <f>E196</f>
        <v>0</v>
      </c>
      <c r="D53" s="13">
        <f>F196</f>
        <v>1777.87</v>
      </c>
      <c r="E53" s="13">
        <f>C53+D53</f>
        <v>1777.87</v>
      </c>
    </row>
    <row r="54" spans="1:5" ht="15.75">
      <c r="A54" s="434" t="s">
        <v>155</v>
      </c>
      <c r="B54" s="434"/>
      <c r="C54" s="14">
        <f>SUM(C49:C53)</f>
        <v>18403829.740000002</v>
      </c>
      <c r="D54" s="14">
        <f>SUM(D49:D53)</f>
        <v>1208676.87</v>
      </c>
      <c r="E54" s="14">
        <f>SUM(E49:E53)</f>
        <v>19612506.610000003</v>
      </c>
    </row>
    <row r="55" ht="15.75">
      <c r="A55" s="3"/>
    </row>
    <row r="56" spans="1:7" ht="15.75">
      <c r="A56" s="435">
        <v>10</v>
      </c>
      <c r="B56" s="436" t="s">
        <v>23</v>
      </c>
      <c r="C56" s="436"/>
      <c r="D56" s="436"/>
      <c r="E56" s="436"/>
      <c r="F56" s="436"/>
      <c r="G56" s="436"/>
    </row>
    <row r="57" spans="1:2" ht="15.75">
      <c r="A57" s="435"/>
      <c r="B57" s="1" t="s">
        <v>17</v>
      </c>
    </row>
    <row r="58" ht="15.75">
      <c r="A58" s="3"/>
    </row>
    <row r="59" spans="2:5" ht="31.5">
      <c r="B59" s="6" t="s">
        <v>193</v>
      </c>
      <c r="C59" s="6" t="s">
        <v>19</v>
      </c>
      <c r="D59" s="6" t="s">
        <v>20</v>
      </c>
      <c r="E59" s="6" t="s">
        <v>21</v>
      </c>
    </row>
    <row r="60" spans="2:5" ht="15.75">
      <c r="B60" s="6">
        <v>1</v>
      </c>
      <c r="C60" s="6">
        <v>2</v>
      </c>
      <c r="D60" s="6">
        <v>3</v>
      </c>
      <c r="E60" s="6">
        <v>4</v>
      </c>
    </row>
    <row r="61" spans="2:5" ht="90">
      <c r="B61" s="199" t="s">
        <v>411</v>
      </c>
      <c r="C61" s="81">
        <f>C54</f>
        <v>18403829.740000002</v>
      </c>
      <c r="D61" s="81">
        <f>D54</f>
        <v>1208676.87</v>
      </c>
      <c r="E61" s="134">
        <f>C61+D61</f>
        <v>19612506.610000003</v>
      </c>
    </row>
    <row r="62" spans="2:5" s="23" customFormat="1" ht="15.75">
      <c r="B62" s="17" t="s">
        <v>21</v>
      </c>
      <c r="C62" s="14">
        <f>C61</f>
        <v>18403829.740000002</v>
      </c>
      <c r="D62" s="14">
        <f>D61</f>
        <v>1208676.87</v>
      </c>
      <c r="E62" s="14">
        <f>E61</f>
        <v>19612506.610000003</v>
      </c>
    </row>
    <row r="63" ht="15.75">
      <c r="A63" s="3"/>
    </row>
    <row r="64" spans="1:7" ht="15.75">
      <c r="A64" s="2">
        <v>11</v>
      </c>
      <c r="B64" s="436" t="s">
        <v>195</v>
      </c>
      <c r="C64" s="436"/>
      <c r="D64" s="436"/>
      <c r="E64" s="436"/>
      <c r="F64" s="436"/>
      <c r="G64" s="436"/>
    </row>
    <row r="65" ht="15.75">
      <c r="A65" s="3"/>
    </row>
    <row r="66" spans="1:7" ht="46.5" customHeight="1">
      <c r="A66" s="6" t="s">
        <v>13</v>
      </c>
      <c r="B66" s="6" t="s">
        <v>196</v>
      </c>
      <c r="C66" s="6" t="s">
        <v>197</v>
      </c>
      <c r="D66" s="6" t="s">
        <v>198</v>
      </c>
      <c r="E66" s="6" t="s">
        <v>19</v>
      </c>
      <c r="F66" s="6" t="s">
        <v>20</v>
      </c>
      <c r="G66" s="6" t="s">
        <v>21</v>
      </c>
    </row>
    <row r="67" spans="1:7" ht="15.75">
      <c r="A67" s="6">
        <v>1</v>
      </c>
      <c r="B67" s="6">
        <v>2</v>
      </c>
      <c r="C67" s="6">
        <v>3</v>
      </c>
      <c r="D67" s="6">
        <v>4</v>
      </c>
      <c r="E67" s="6">
        <v>5</v>
      </c>
      <c r="F67" s="6">
        <v>6</v>
      </c>
      <c r="G67" s="6">
        <v>7</v>
      </c>
    </row>
    <row r="68" spans="1:7" ht="15.75" customHeight="1">
      <c r="A68" s="304" t="s">
        <v>169</v>
      </c>
      <c r="B68" s="476" t="s">
        <v>134</v>
      </c>
      <c r="C68" s="476"/>
      <c r="D68" s="476"/>
      <c r="E68" s="476"/>
      <c r="F68" s="476"/>
      <c r="G68" s="476"/>
    </row>
    <row r="69" spans="1:7" ht="15.75" customHeight="1">
      <c r="A69" s="304"/>
      <c r="B69" s="305" t="s">
        <v>199</v>
      </c>
      <c r="C69" s="306"/>
      <c r="D69" s="306"/>
      <c r="E69" s="304"/>
      <c r="F69" s="304"/>
      <c r="G69" s="304"/>
    </row>
    <row r="70" spans="1:8" ht="33.75" customHeight="1">
      <c r="A70" s="304"/>
      <c r="B70" s="307" t="s">
        <v>159</v>
      </c>
      <c r="C70" s="308" t="s">
        <v>79</v>
      </c>
      <c r="D70" s="308" t="s">
        <v>5</v>
      </c>
      <c r="E70" s="332">
        <f>3004295+84000+70000+156726-423037+1232910-9812.85</f>
        <v>4115081.15</v>
      </c>
      <c r="F70" s="309" t="s">
        <v>109</v>
      </c>
      <c r="G70" s="320">
        <f>E70</f>
        <v>4115081.15</v>
      </c>
      <c r="H70" s="89"/>
    </row>
    <row r="71" spans="1:9" ht="15" customHeight="1">
      <c r="A71" s="304"/>
      <c r="B71" s="310" t="s">
        <v>253</v>
      </c>
      <c r="C71" s="311" t="s">
        <v>251</v>
      </c>
      <c r="D71" s="311" t="s">
        <v>69</v>
      </c>
      <c r="E71" s="312">
        <v>2</v>
      </c>
      <c r="F71" s="304" t="s">
        <v>109</v>
      </c>
      <c r="G71" s="313">
        <f>E71</f>
        <v>2</v>
      </c>
      <c r="I71" s="111"/>
    </row>
    <row r="72" spans="1:8" ht="29.25" customHeight="1">
      <c r="A72" s="304"/>
      <c r="B72" s="314" t="s">
        <v>254</v>
      </c>
      <c r="C72" s="311" t="s">
        <v>251</v>
      </c>
      <c r="D72" s="311" t="s">
        <v>69</v>
      </c>
      <c r="E72" s="312">
        <v>12</v>
      </c>
      <c r="F72" s="304" t="s">
        <v>109</v>
      </c>
      <c r="G72" s="313">
        <f>E72</f>
        <v>12</v>
      </c>
      <c r="H72" s="111"/>
    </row>
    <row r="73" spans="1:7" ht="29.25" customHeight="1">
      <c r="A73" s="304"/>
      <c r="B73" s="314" t="s">
        <v>255</v>
      </c>
      <c r="C73" s="311" t="s">
        <v>251</v>
      </c>
      <c r="D73" s="311" t="s">
        <v>65</v>
      </c>
      <c r="E73" s="315">
        <v>1.75</v>
      </c>
      <c r="F73" s="304" t="s">
        <v>109</v>
      </c>
      <c r="G73" s="313">
        <f>E73</f>
        <v>1.75</v>
      </c>
    </row>
    <row r="74" spans="1:7" ht="13.5" customHeight="1">
      <c r="A74" s="304"/>
      <c r="B74" s="316" t="s">
        <v>376</v>
      </c>
      <c r="C74" s="311" t="s">
        <v>251</v>
      </c>
      <c r="D74" s="311" t="s">
        <v>65</v>
      </c>
      <c r="E74" s="315">
        <v>1</v>
      </c>
      <c r="F74" s="304" t="s">
        <v>109</v>
      </c>
      <c r="G74" s="313">
        <f>E74</f>
        <v>1</v>
      </c>
    </row>
    <row r="75" spans="1:7" ht="13.5" customHeight="1">
      <c r="A75" s="304"/>
      <c r="B75" s="316" t="s">
        <v>375</v>
      </c>
      <c r="C75" s="311" t="s">
        <v>251</v>
      </c>
      <c r="D75" s="311" t="s">
        <v>65</v>
      </c>
      <c r="E75" s="315">
        <v>0.75</v>
      </c>
      <c r="F75" s="304" t="s">
        <v>109</v>
      </c>
      <c r="G75" s="313"/>
    </row>
    <row r="76" spans="1:7" ht="15.75" customHeight="1">
      <c r="A76" s="304"/>
      <c r="B76" s="310" t="s">
        <v>252</v>
      </c>
      <c r="C76" s="311" t="s">
        <v>251</v>
      </c>
      <c r="D76" s="311" t="s">
        <v>65</v>
      </c>
      <c r="E76" s="315">
        <v>0.5</v>
      </c>
      <c r="F76" s="304" t="s">
        <v>109</v>
      </c>
      <c r="G76" s="313">
        <f>E76</f>
        <v>0.5</v>
      </c>
    </row>
    <row r="77" spans="1:7" ht="15.75" customHeight="1">
      <c r="A77" s="304"/>
      <c r="B77" s="316" t="s">
        <v>376</v>
      </c>
      <c r="C77" s="311" t="s">
        <v>251</v>
      </c>
      <c r="D77" s="311" t="s">
        <v>65</v>
      </c>
      <c r="E77" s="315">
        <v>0.5</v>
      </c>
      <c r="F77" s="304" t="s">
        <v>109</v>
      </c>
      <c r="G77" s="313">
        <f>E77</f>
        <v>0.5</v>
      </c>
    </row>
    <row r="78" spans="1:7" ht="15" customHeight="1">
      <c r="A78" s="304"/>
      <c r="B78" s="317" t="s">
        <v>200</v>
      </c>
      <c r="C78" s="311"/>
      <c r="D78" s="311"/>
      <c r="E78" s="312"/>
      <c r="F78" s="304"/>
      <c r="G78" s="313"/>
    </row>
    <row r="79" spans="1:7" ht="21" customHeight="1">
      <c r="A79" s="304"/>
      <c r="B79" s="307" t="s">
        <v>250</v>
      </c>
      <c r="C79" s="318" t="s">
        <v>251</v>
      </c>
      <c r="D79" s="318" t="s">
        <v>69</v>
      </c>
      <c r="E79" s="319">
        <v>1</v>
      </c>
      <c r="F79" s="304" t="s">
        <v>109</v>
      </c>
      <c r="G79" s="320">
        <f aca="true" t="shared" si="0" ref="G79:G92">E79</f>
        <v>1</v>
      </c>
    </row>
    <row r="80" spans="1:7" ht="28.5" customHeight="1">
      <c r="A80" s="304"/>
      <c r="B80" s="321" t="s">
        <v>402</v>
      </c>
      <c r="C80" s="311" t="s">
        <v>251</v>
      </c>
      <c r="D80" s="311" t="s">
        <v>65</v>
      </c>
      <c r="E80" s="322">
        <f>E81+E82</f>
        <v>53.25</v>
      </c>
      <c r="F80" s="312" t="s">
        <v>109</v>
      </c>
      <c r="G80" s="323">
        <f t="shared" si="0"/>
        <v>53.25</v>
      </c>
    </row>
    <row r="81" spans="1:7" ht="15" customHeight="1">
      <c r="A81" s="304"/>
      <c r="B81" s="316" t="s">
        <v>376</v>
      </c>
      <c r="C81" s="311" t="s">
        <v>251</v>
      </c>
      <c r="D81" s="311" t="s">
        <v>65</v>
      </c>
      <c r="E81" s="324">
        <f>32+9.5</f>
        <v>41.5</v>
      </c>
      <c r="F81" s="312" t="s">
        <v>109</v>
      </c>
      <c r="G81" s="325">
        <f t="shared" si="0"/>
        <v>41.5</v>
      </c>
    </row>
    <row r="82" spans="1:7" ht="15" customHeight="1">
      <c r="A82" s="304"/>
      <c r="B82" s="316" t="s">
        <v>375</v>
      </c>
      <c r="C82" s="311" t="s">
        <v>251</v>
      </c>
      <c r="D82" s="311" t="s">
        <v>65</v>
      </c>
      <c r="E82" s="324">
        <f>8.5+3.25</f>
        <v>11.75</v>
      </c>
      <c r="F82" s="312" t="s">
        <v>109</v>
      </c>
      <c r="G82" s="325">
        <f t="shared" si="0"/>
        <v>11.75</v>
      </c>
    </row>
    <row r="83" spans="1:7" ht="15" customHeight="1">
      <c r="A83" s="304"/>
      <c r="B83" s="326" t="s">
        <v>403</v>
      </c>
      <c r="C83" s="311" t="s">
        <v>251</v>
      </c>
      <c r="D83" s="311" t="s">
        <v>65</v>
      </c>
      <c r="E83" s="327">
        <f>E84+E85</f>
        <v>9.5</v>
      </c>
      <c r="F83" s="304" t="s">
        <v>109</v>
      </c>
      <c r="G83" s="323">
        <f t="shared" si="0"/>
        <v>9.5</v>
      </c>
    </row>
    <row r="84" spans="1:7" ht="15" customHeight="1">
      <c r="A84" s="304"/>
      <c r="B84" s="316" t="s">
        <v>376</v>
      </c>
      <c r="C84" s="311" t="s">
        <v>251</v>
      </c>
      <c r="D84" s="311" t="s">
        <v>65</v>
      </c>
      <c r="E84" s="324">
        <f>3.5+1.5</f>
        <v>5</v>
      </c>
      <c r="F84" s="304" t="s">
        <v>109</v>
      </c>
      <c r="G84" s="325">
        <f t="shared" si="0"/>
        <v>5</v>
      </c>
    </row>
    <row r="85" spans="1:7" ht="15" customHeight="1">
      <c r="A85" s="304"/>
      <c r="B85" s="316" t="s">
        <v>375</v>
      </c>
      <c r="C85" s="311" t="s">
        <v>251</v>
      </c>
      <c r="D85" s="311" t="s">
        <v>65</v>
      </c>
      <c r="E85" s="324">
        <f>10*35%+1</f>
        <v>4.5</v>
      </c>
      <c r="F85" s="304" t="s">
        <v>109</v>
      </c>
      <c r="G85" s="325">
        <f t="shared" si="0"/>
        <v>4.5</v>
      </c>
    </row>
    <row r="86" spans="1:7" ht="22.5" customHeight="1">
      <c r="A86" s="328"/>
      <c r="B86" s="310" t="s">
        <v>256</v>
      </c>
      <c r="C86" s="311" t="s">
        <v>206</v>
      </c>
      <c r="D86" s="311" t="s">
        <v>547</v>
      </c>
      <c r="E86" s="329">
        <f>205.4*0.75</f>
        <v>154.05</v>
      </c>
      <c r="F86" s="304" t="s">
        <v>109</v>
      </c>
      <c r="G86" s="330">
        <f t="shared" si="0"/>
        <v>154.05</v>
      </c>
    </row>
    <row r="87" spans="1:7" ht="13.5" customHeight="1">
      <c r="A87" s="328"/>
      <c r="B87" s="316" t="s">
        <v>376</v>
      </c>
      <c r="C87" s="311" t="s">
        <v>251</v>
      </c>
      <c r="D87" s="311" t="s">
        <v>547</v>
      </c>
      <c r="E87" s="329">
        <f>119.1*0.75</f>
        <v>89.32499999999999</v>
      </c>
      <c r="F87" s="304" t="s">
        <v>109</v>
      </c>
      <c r="G87" s="330">
        <f t="shared" si="0"/>
        <v>89.32499999999999</v>
      </c>
    </row>
    <row r="88" spans="1:7" ht="12" customHeight="1">
      <c r="A88" s="328"/>
      <c r="B88" s="316" t="s">
        <v>375</v>
      </c>
      <c r="C88" s="311" t="s">
        <v>251</v>
      </c>
      <c r="D88" s="311" t="s">
        <v>547</v>
      </c>
      <c r="E88" s="329">
        <f>E86-E87</f>
        <v>64.72500000000002</v>
      </c>
      <c r="F88" s="304" t="s">
        <v>109</v>
      </c>
      <c r="G88" s="330">
        <f t="shared" si="0"/>
        <v>64.72500000000002</v>
      </c>
    </row>
    <row r="89" spans="1:7" ht="28.5" customHeight="1">
      <c r="A89" s="328"/>
      <c r="B89" s="310" t="s">
        <v>257</v>
      </c>
      <c r="C89" s="311" t="s">
        <v>206</v>
      </c>
      <c r="D89" s="311" t="s">
        <v>547</v>
      </c>
      <c r="E89" s="331">
        <v>3.8</v>
      </c>
      <c r="F89" s="304" t="s">
        <v>109</v>
      </c>
      <c r="G89" s="330">
        <f t="shared" si="0"/>
        <v>3.8</v>
      </c>
    </row>
    <row r="90" spans="1:7" ht="29.25" customHeight="1">
      <c r="A90" s="328"/>
      <c r="B90" s="310" t="s">
        <v>258</v>
      </c>
      <c r="C90" s="311" t="s">
        <v>64</v>
      </c>
      <c r="D90" s="311" t="s">
        <v>547</v>
      </c>
      <c r="E90" s="332">
        <f>345*3</f>
        <v>1035</v>
      </c>
      <c r="F90" s="304" t="s">
        <v>109</v>
      </c>
      <c r="G90" s="313">
        <f t="shared" si="0"/>
        <v>1035</v>
      </c>
    </row>
    <row r="91" spans="1:7" ht="15" customHeight="1">
      <c r="A91" s="328"/>
      <c r="B91" s="316" t="s">
        <v>376</v>
      </c>
      <c r="C91" s="311" t="s">
        <v>64</v>
      </c>
      <c r="D91" s="311" t="s">
        <v>547</v>
      </c>
      <c r="E91" s="332">
        <v>786</v>
      </c>
      <c r="F91" s="304" t="s">
        <v>109</v>
      </c>
      <c r="G91" s="313">
        <f t="shared" si="0"/>
        <v>786</v>
      </c>
    </row>
    <row r="92" spans="1:7" ht="19.5" customHeight="1">
      <c r="A92" s="328"/>
      <c r="B92" s="316" t="s">
        <v>375</v>
      </c>
      <c r="C92" s="311" t="s">
        <v>64</v>
      </c>
      <c r="D92" s="311" t="s">
        <v>547</v>
      </c>
      <c r="E92" s="332">
        <f>E90-E91</f>
        <v>249</v>
      </c>
      <c r="F92" s="304" t="s">
        <v>109</v>
      </c>
      <c r="G92" s="313">
        <f t="shared" si="0"/>
        <v>249</v>
      </c>
    </row>
    <row r="93" spans="1:7" ht="15.75">
      <c r="A93" s="304"/>
      <c r="B93" s="333" t="s">
        <v>201</v>
      </c>
      <c r="C93" s="318"/>
      <c r="D93" s="318"/>
      <c r="E93" s="304"/>
      <c r="F93" s="304"/>
      <c r="G93" s="330"/>
    </row>
    <row r="94" spans="1:7" ht="31.5">
      <c r="A94" s="304"/>
      <c r="B94" s="334" t="s">
        <v>404</v>
      </c>
      <c r="C94" s="335" t="s">
        <v>79</v>
      </c>
      <c r="D94" s="335" t="s">
        <v>70</v>
      </c>
      <c r="E94" s="336">
        <f>E70/E80/12</f>
        <v>6439.876604068857</v>
      </c>
      <c r="F94" s="304" t="s">
        <v>109</v>
      </c>
      <c r="G94" s="337">
        <f aca="true" t="shared" si="1" ref="G94:G103">E94</f>
        <v>6439.876604068857</v>
      </c>
    </row>
    <row r="95" spans="1:7" ht="15.75">
      <c r="A95" s="304"/>
      <c r="B95" s="338" t="s">
        <v>376</v>
      </c>
      <c r="C95" s="335" t="s">
        <v>79</v>
      </c>
      <c r="D95" s="335" t="s">
        <v>70</v>
      </c>
      <c r="E95" s="339">
        <f>E94</f>
        <v>6439.876604068857</v>
      </c>
      <c r="F95" s="304" t="s">
        <v>109</v>
      </c>
      <c r="G95" s="340">
        <f t="shared" si="1"/>
        <v>6439.876604068857</v>
      </c>
    </row>
    <row r="96" spans="1:7" ht="15.75">
      <c r="A96" s="304"/>
      <c r="B96" s="338" t="s">
        <v>375</v>
      </c>
      <c r="C96" s="335" t="s">
        <v>79</v>
      </c>
      <c r="D96" s="335" t="s">
        <v>70</v>
      </c>
      <c r="E96" s="339">
        <f>E95</f>
        <v>6439.876604068857</v>
      </c>
      <c r="F96" s="304" t="s">
        <v>109</v>
      </c>
      <c r="G96" s="340">
        <f t="shared" si="1"/>
        <v>6439.876604068857</v>
      </c>
    </row>
    <row r="97" spans="1:7" ht="15.75">
      <c r="A97" s="304"/>
      <c r="B97" s="321" t="s">
        <v>403</v>
      </c>
      <c r="C97" s="335" t="s">
        <v>79</v>
      </c>
      <c r="D97" s="335" t="s">
        <v>70</v>
      </c>
      <c r="E97" s="341">
        <v>7522.4</v>
      </c>
      <c r="F97" s="304" t="s">
        <v>109</v>
      </c>
      <c r="G97" s="337">
        <f t="shared" si="1"/>
        <v>7522.4</v>
      </c>
    </row>
    <row r="98" spans="1:7" ht="15.75">
      <c r="A98" s="304"/>
      <c r="B98" s="338" t="s">
        <v>376</v>
      </c>
      <c r="C98" s="335" t="s">
        <v>79</v>
      </c>
      <c r="D98" s="335" t="s">
        <v>70</v>
      </c>
      <c r="E98" s="342">
        <f>6165.9+1356.5</f>
        <v>7522.4</v>
      </c>
      <c r="F98" s="304" t="s">
        <v>109</v>
      </c>
      <c r="G98" s="340">
        <f t="shared" si="1"/>
        <v>7522.4</v>
      </c>
    </row>
    <row r="99" spans="1:7" ht="15.75">
      <c r="A99" s="304"/>
      <c r="B99" s="338" t="s">
        <v>375</v>
      </c>
      <c r="C99" s="335" t="s">
        <v>79</v>
      </c>
      <c r="D99" s="335" t="s">
        <v>70</v>
      </c>
      <c r="E99" s="342">
        <v>7522.4</v>
      </c>
      <c r="F99" s="304" t="s">
        <v>109</v>
      </c>
      <c r="G99" s="340">
        <f t="shared" si="1"/>
        <v>7522.4</v>
      </c>
    </row>
    <row r="100" spans="1:7" s="262" customFormat="1" ht="15.75" customHeight="1">
      <c r="A100" s="304"/>
      <c r="B100" s="310" t="s">
        <v>259</v>
      </c>
      <c r="C100" s="318" t="s">
        <v>79</v>
      </c>
      <c r="D100" s="318" t="s">
        <v>70</v>
      </c>
      <c r="E100" s="343">
        <f>E70/E86/1000/4</f>
        <v>6.678158308990587</v>
      </c>
      <c r="F100" s="304" t="s">
        <v>109</v>
      </c>
      <c r="G100" s="340">
        <f t="shared" si="1"/>
        <v>6.678158308990587</v>
      </c>
    </row>
    <row r="101" spans="1:7" s="262" customFormat="1" ht="15.75" customHeight="1">
      <c r="A101" s="304"/>
      <c r="B101" s="308" t="s">
        <v>260</v>
      </c>
      <c r="C101" s="318" t="s">
        <v>64</v>
      </c>
      <c r="D101" s="318" t="s">
        <v>70</v>
      </c>
      <c r="E101" s="344">
        <f>(2120/4)*3</f>
        <v>1590</v>
      </c>
      <c r="F101" s="304" t="s">
        <v>109</v>
      </c>
      <c r="G101" s="330">
        <f t="shared" si="1"/>
        <v>1590</v>
      </c>
    </row>
    <row r="102" spans="1:7" s="262" customFormat="1" ht="15.75" customHeight="1">
      <c r="A102" s="304"/>
      <c r="B102" s="338" t="s">
        <v>376</v>
      </c>
      <c r="C102" s="318" t="s">
        <v>64</v>
      </c>
      <c r="D102" s="318" t="s">
        <v>70</v>
      </c>
      <c r="E102" s="344">
        <v>345</v>
      </c>
      <c r="F102" s="304" t="s">
        <v>109</v>
      </c>
      <c r="G102" s="330">
        <f t="shared" si="1"/>
        <v>345</v>
      </c>
    </row>
    <row r="103" spans="1:7" s="262" customFormat="1" ht="15.75" customHeight="1">
      <c r="A103" s="304"/>
      <c r="B103" s="338" t="s">
        <v>375</v>
      </c>
      <c r="C103" s="318" t="s">
        <v>64</v>
      </c>
      <c r="D103" s="318" t="s">
        <v>70</v>
      </c>
      <c r="E103" s="344">
        <f>E101-E102</f>
        <v>1245</v>
      </c>
      <c r="F103" s="304" t="s">
        <v>109</v>
      </c>
      <c r="G103" s="330">
        <f t="shared" si="1"/>
        <v>1245</v>
      </c>
    </row>
    <row r="104" spans="1:7" ht="15.75">
      <c r="A104" s="304"/>
      <c r="B104" s="333" t="s">
        <v>202</v>
      </c>
      <c r="C104" s="318"/>
      <c r="D104" s="318"/>
      <c r="E104" s="304"/>
      <c r="F104" s="304"/>
      <c r="G104" s="313"/>
    </row>
    <row r="105" spans="1:7" ht="15.75">
      <c r="A105" s="304"/>
      <c r="B105" s="308" t="s">
        <v>405</v>
      </c>
      <c r="C105" s="318" t="s">
        <v>71</v>
      </c>
      <c r="D105" s="318" t="s">
        <v>70</v>
      </c>
      <c r="E105" s="304">
        <v>100</v>
      </c>
      <c r="F105" s="304" t="s">
        <v>109</v>
      </c>
      <c r="G105" s="313">
        <f>E105</f>
        <v>100</v>
      </c>
    </row>
    <row r="106" spans="1:7" s="262" customFormat="1" ht="30">
      <c r="A106" s="328"/>
      <c r="B106" s="308" t="s">
        <v>261</v>
      </c>
      <c r="C106" s="318" t="s">
        <v>71</v>
      </c>
      <c r="D106" s="318" t="s">
        <v>70</v>
      </c>
      <c r="E106" s="304">
        <v>57.7</v>
      </c>
      <c r="F106" s="304" t="s">
        <v>109</v>
      </c>
      <c r="G106" s="330">
        <f>E106</f>
        <v>57.7</v>
      </c>
    </row>
    <row r="107" spans="1:7" s="262" customFormat="1" ht="45">
      <c r="A107" s="328"/>
      <c r="B107" s="308" t="s">
        <v>262</v>
      </c>
      <c r="C107" s="318" t="s">
        <v>71</v>
      </c>
      <c r="D107" s="318" t="s">
        <v>70</v>
      </c>
      <c r="E107" s="304">
        <v>70.1</v>
      </c>
      <c r="F107" s="304" t="s">
        <v>109</v>
      </c>
      <c r="G107" s="330">
        <f>E107</f>
        <v>70.1</v>
      </c>
    </row>
    <row r="108" spans="1:7" s="262" customFormat="1" ht="30">
      <c r="A108" s="345"/>
      <c r="B108" s="346" t="s">
        <v>263</v>
      </c>
      <c r="C108" s="347" t="s">
        <v>71</v>
      </c>
      <c r="D108" s="4" t="s">
        <v>70</v>
      </c>
      <c r="E108" s="348">
        <v>2.2</v>
      </c>
      <c r="F108" s="304" t="s">
        <v>109</v>
      </c>
      <c r="G108" s="330">
        <f>E108</f>
        <v>2.2</v>
      </c>
    </row>
    <row r="109" spans="1:7" ht="15.75">
      <c r="A109" s="328"/>
      <c r="B109" s="308"/>
      <c r="C109" s="318"/>
      <c r="D109" s="318"/>
      <c r="E109" s="304"/>
      <c r="F109" s="304"/>
      <c r="G109" s="313"/>
    </row>
    <row r="110" spans="1:7" ht="15.75" customHeight="1">
      <c r="A110" s="304" t="s">
        <v>170</v>
      </c>
      <c r="B110" s="477" t="s">
        <v>249</v>
      </c>
      <c r="C110" s="477"/>
      <c r="D110" s="477"/>
      <c r="E110" s="477"/>
      <c r="F110" s="477"/>
      <c r="G110" s="477"/>
    </row>
    <row r="111" spans="1:7" ht="15.75" customHeight="1">
      <c r="A111" s="304"/>
      <c r="B111" s="333" t="s">
        <v>199</v>
      </c>
      <c r="C111" s="318"/>
      <c r="D111" s="318"/>
      <c r="E111" s="304"/>
      <c r="F111" s="304"/>
      <c r="G111" s="313"/>
    </row>
    <row r="112" spans="1:8" ht="33.75" customHeight="1">
      <c r="A112" s="304"/>
      <c r="B112" s="307" t="s">
        <v>159</v>
      </c>
      <c r="C112" s="308" t="s">
        <v>79</v>
      </c>
      <c r="D112" s="308" t="s">
        <v>5</v>
      </c>
      <c r="E112" s="383">
        <f>5579405+351696.94+156000+130000+291062.67-785639.87+2289690+800000</f>
        <v>8812214.74</v>
      </c>
      <c r="F112" s="309" t="s">
        <v>109</v>
      </c>
      <c r="G112" s="340">
        <f>E112</f>
        <v>8812214.74</v>
      </c>
      <c r="H112" s="89"/>
    </row>
    <row r="113" spans="1:7" ht="30" customHeight="1">
      <c r="A113" s="304"/>
      <c r="B113" s="308" t="s">
        <v>3</v>
      </c>
      <c r="C113" s="318" t="s">
        <v>251</v>
      </c>
      <c r="D113" s="318" t="s">
        <v>70</v>
      </c>
      <c r="E113" s="349">
        <f>201/2</f>
        <v>100.5</v>
      </c>
      <c r="F113" s="309" t="s">
        <v>109</v>
      </c>
      <c r="G113" s="313">
        <f>E113</f>
        <v>100.5</v>
      </c>
    </row>
    <row r="114" spans="1:7" ht="15.75" customHeight="1">
      <c r="A114" s="304"/>
      <c r="B114" s="333" t="s">
        <v>200</v>
      </c>
      <c r="C114" s="318"/>
      <c r="D114" s="318"/>
      <c r="E114" s="312"/>
      <c r="F114" s="312"/>
      <c r="G114" s="313"/>
    </row>
    <row r="115" spans="1:7" ht="31.5" customHeight="1">
      <c r="A115" s="304"/>
      <c r="B115" s="308" t="s">
        <v>250</v>
      </c>
      <c r="C115" s="318" t="s">
        <v>251</v>
      </c>
      <c r="D115" s="318" t="s">
        <v>69</v>
      </c>
      <c r="E115" s="350">
        <v>1</v>
      </c>
      <c r="F115" s="304" t="s">
        <v>109</v>
      </c>
      <c r="G115" s="313">
        <f aca="true" t="shared" si="2" ref="G115:G125">E115</f>
        <v>1</v>
      </c>
    </row>
    <row r="116" spans="1:7" ht="27.75" customHeight="1">
      <c r="A116" s="304"/>
      <c r="B116" s="308" t="s">
        <v>402</v>
      </c>
      <c r="C116" s="318" t="s">
        <v>251</v>
      </c>
      <c r="D116" s="318" t="s">
        <v>65</v>
      </c>
      <c r="E116" s="322">
        <f>E117+E118</f>
        <v>99.75</v>
      </c>
      <c r="F116" s="312" t="s">
        <v>109</v>
      </c>
      <c r="G116" s="351">
        <f t="shared" si="2"/>
        <v>99.75</v>
      </c>
    </row>
    <row r="117" spans="1:7" ht="15.75" customHeight="1">
      <c r="A117" s="304"/>
      <c r="B117" s="352" t="s">
        <v>376</v>
      </c>
      <c r="C117" s="318" t="s">
        <v>251</v>
      </c>
      <c r="D117" s="318" t="s">
        <v>65</v>
      </c>
      <c r="E117" s="324">
        <f>60.5+20.5</f>
        <v>81</v>
      </c>
      <c r="F117" s="312" t="s">
        <v>109</v>
      </c>
      <c r="G117" s="330">
        <f t="shared" si="2"/>
        <v>81</v>
      </c>
    </row>
    <row r="118" spans="1:7" ht="15.75" customHeight="1">
      <c r="A118" s="304"/>
      <c r="B118" s="352" t="s">
        <v>375</v>
      </c>
      <c r="C118" s="318" t="s">
        <v>251</v>
      </c>
      <c r="D118" s="318" t="s">
        <v>65</v>
      </c>
      <c r="E118" s="324">
        <f>15.5+3.25</f>
        <v>18.75</v>
      </c>
      <c r="F118" s="312" t="s">
        <v>109</v>
      </c>
      <c r="G118" s="330">
        <f t="shared" si="2"/>
        <v>18.75</v>
      </c>
    </row>
    <row r="119" spans="1:7" ht="15.75" customHeight="1">
      <c r="A119" s="304"/>
      <c r="B119" s="308" t="s">
        <v>403</v>
      </c>
      <c r="C119" s="318" t="s">
        <v>251</v>
      </c>
      <c r="D119" s="318" t="s">
        <v>65</v>
      </c>
      <c r="E119" s="353">
        <f>E120+E121</f>
        <v>18.25</v>
      </c>
      <c r="F119" s="312" t="s">
        <v>109</v>
      </c>
      <c r="G119" s="337">
        <f t="shared" si="2"/>
        <v>18.25</v>
      </c>
    </row>
    <row r="120" spans="1:7" ht="15.75" customHeight="1">
      <c r="A120" s="304"/>
      <c r="B120" s="352" t="s">
        <v>376</v>
      </c>
      <c r="C120" s="318" t="s">
        <v>251</v>
      </c>
      <c r="D120" s="318" t="s">
        <v>65</v>
      </c>
      <c r="E120" s="354">
        <f>7+2</f>
        <v>9</v>
      </c>
      <c r="F120" s="312" t="s">
        <v>109</v>
      </c>
      <c r="G120" s="330">
        <f t="shared" si="2"/>
        <v>9</v>
      </c>
    </row>
    <row r="121" spans="1:7" ht="15.75" customHeight="1">
      <c r="A121" s="304"/>
      <c r="B121" s="352" t="s">
        <v>375</v>
      </c>
      <c r="C121" s="318" t="s">
        <v>251</v>
      </c>
      <c r="D121" s="318" t="s">
        <v>65</v>
      </c>
      <c r="E121" s="355">
        <f>6.75+2.5</f>
        <v>9.25</v>
      </c>
      <c r="F121" s="312" t="s">
        <v>109</v>
      </c>
      <c r="G121" s="340">
        <f t="shared" si="2"/>
        <v>9.25</v>
      </c>
    </row>
    <row r="122" spans="1:7" ht="35.25" customHeight="1">
      <c r="A122" s="356"/>
      <c r="B122" s="357" t="s">
        <v>4</v>
      </c>
      <c r="C122" s="384" t="s">
        <v>206</v>
      </c>
      <c r="D122" s="358" t="s">
        <v>70</v>
      </c>
      <c r="E122" s="385">
        <f>34.2</f>
        <v>34.2</v>
      </c>
      <c r="F122" s="312" t="s">
        <v>109</v>
      </c>
      <c r="G122" s="386">
        <f t="shared" si="2"/>
        <v>34.2</v>
      </c>
    </row>
    <row r="123" spans="1:7" ht="31.5" customHeight="1">
      <c r="A123" s="356"/>
      <c r="B123" s="357" t="s">
        <v>297</v>
      </c>
      <c r="C123" s="384" t="s">
        <v>64</v>
      </c>
      <c r="D123" s="358" t="s">
        <v>70</v>
      </c>
      <c r="E123" s="387">
        <f>4821*0.75</f>
        <v>3615.75</v>
      </c>
      <c r="F123" s="312" t="s">
        <v>109</v>
      </c>
      <c r="G123" s="388">
        <f t="shared" si="2"/>
        <v>3615.75</v>
      </c>
    </row>
    <row r="124" spans="1:7" ht="15.75" customHeight="1">
      <c r="A124" s="356"/>
      <c r="B124" s="338" t="s">
        <v>376</v>
      </c>
      <c r="C124" s="384" t="s">
        <v>64</v>
      </c>
      <c r="D124" s="358" t="s">
        <v>70</v>
      </c>
      <c r="E124" s="387">
        <v>644</v>
      </c>
      <c r="F124" s="312" t="s">
        <v>109</v>
      </c>
      <c r="G124" s="388">
        <f t="shared" si="2"/>
        <v>644</v>
      </c>
    </row>
    <row r="125" spans="1:7" ht="15.75" customHeight="1">
      <c r="A125" s="356"/>
      <c r="B125" s="338" t="s">
        <v>375</v>
      </c>
      <c r="C125" s="384" t="s">
        <v>64</v>
      </c>
      <c r="D125" s="358" t="s">
        <v>70</v>
      </c>
      <c r="E125" s="387">
        <f>E123-E124</f>
        <v>2971.75</v>
      </c>
      <c r="F125" s="312" t="s">
        <v>109</v>
      </c>
      <c r="G125" s="388">
        <f t="shared" si="2"/>
        <v>2971.75</v>
      </c>
    </row>
    <row r="126" spans="1:7" ht="15.75" customHeight="1">
      <c r="A126" s="304"/>
      <c r="B126" s="333" t="s">
        <v>201</v>
      </c>
      <c r="C126" s="318"/>
      <c r="D126" s="318"/>
      <c r="E126" s="304"/>
      <c r="F126" s="304"/>
      <c r="G126" s="330"/>
    </row>
    <row r="127" spans="1:7" ht="31.5" customHeight="1">
      <c r="A127" s="304"/>
      <c r="B127" s="334" t="s">
        <v>404</v>
      </c>
      <c r="C127" s="335" t="s">
        <v>79</v>
      </c>
      <c r="D127" s="335" t="s">
        <v>70</v>
      </c>
      <c r="E127" s="336">
        <f>(5579405+2289690+800000)/E116/12</f>
        <v>7242.35171261487</v>
      </c>
      <c r="F127" s="304" t="s">
        <v>109</v>
      </c>
      <c r="G127" s="337">
        <f aca="true" t="shared" si="3" ref="G127:G135">E127</f>
        <v>7242.35171261487</v>
      </c>
    </row>
    <row r="128" spans="1:7" ht="15.75" customHeight="1">
      <c r="A128" s="304"/>
      <c r="B128" s="338" t="s">
        <v>376</v>
      </c>
      <c r="C128" s="335" t="s">
        <v>79</v>
      </c>
      <c r="D128" s="335" t="s">
        <v>70</v>
      </c>
      <c r="E128" s="359">
        <f>E127</f>
        <v>7242.35171261487</v>
      </c>
      <c r="F128" s="304" t="s">
        <v>109</v>
      </c>
      <c r="G128" s="340">
        <f t="shared" si="3"/>
        <v>7242.35171261487</v>
      </c>
    </row>
    <row r="129" spans="1:7" ht="15.75" customHeight="1">
      <c r="A129" s="304"/>
      <c r="B129" s="338" t="s">
        <v>375</v>
      </c>
      <c r="C129" s="335" t="s">
        <v>79</v>
      </c>
      <c r="D129" s="335" t="s">
        <v>70</v>
      </c>
      <c r="E129" s="359">
        <f>E127</f>
        <v>7242.35171261487</v>
      </c>
      <c r="F129" s="304" t="s">
        <v>109</v>
      </c>
      <c r="G129" s="340">
        <f t="shared" si="3"/>
        <v>7242.35171261487</v>
      </c>
    </row>
    <row r="130" spans="1:7" ht="15.75" customHeight="1">
      <c r="A130" s="304"/>
      <c r="B130" s="321" t="s">
        <v>403</v>
      </c>
      <c r="C130" s="335" t="s">
        <v>79</v>
      </c>
      <c r="D130" s="335" t="s">
        <v>70</v>
      </c>
      <c r="E130" s="336">
        <f>E127/6574.01*7522.4</f>
        <v>8287.159058622377</v>
      </c>
      <c r="F130" s="304" t="s">
        <v>109</v>
      </c>
      <c r="G130" s="337">
        <f t="shared" si="3"/>
        <v>8287.159058622377</v>
      </c>
    </row>
    <row r="131" spans="1:7" ht="15.75" customHeight="1">
      <c r="A131" s="304"/>
      <c r="B131" s="338" t="s">
        <v>376</v>
      </c>
      <c r="C131" s="335" t="s">
        <v>79</v>
      </c>
      <c r="D131" s="335" t="s">
        <v>70</v>
      </c>
      <c r="E131" s="359">
        <f>E130</f>
        <v>8287.159058622377</v>
      </c>
      <c r="F131" s="304" t="s">
        <v>109</v>
      </c>
      <c r="G131" s="340">
        <f t="shared" si="3"/>
        <v>8287.159058622377</v>
      </c>
    </row>
    <row r="132" spans="1:7" ht="15.75" customHeight="1">
      <c r="A132" s="304"/>
      <c r="B132" s="338" t="s">
        <v>375</v>
      </c>
      <c r="C132" s="335" t="s">
        <v>79</v>
      </c>
      <c r="D132" s="335" t="s">
        <v>70</v>
      </c>
      <c r="E132" s="359">
        <f>E131</f>
        <v>8287.159058622377</v>
      </c>
      <c r="F132" s="304" t="s">
        <v>109</v>
      </c>
      <c r="G132" s="340">
        <f t="shared" si="3"/>
        <v>8287.159058622377</v>
      </c>
    </row>
    <row r="133" spans="1:7" ht="36.75" customHeight="1">
      <c r="A133" s="356"/>
      <c r="B133" s="357" t="s">
        <v>156</v>
      </c>
      <c r="C133" s="358" t="s">
        <v>270</v>
      </c>
      <c r="D133" s="358" t="s">
        <v>70</v>
      </c>
      <c r="E133" s="356">
        <f>309*0.75</f>
        <v>231.75</v>
      </c>
      <c r="F133" s="304" t="s">
        <v>109</v>
      </c>
      <c r="G133" s="360">
        <f t="shared" si="3"/>
        <v>231.75</v>
      </c>
    </row>
    <row r="134" spans="1:7" ht="30.75" customHeight="1">
      <c r="A134" s="356"/>
      <c r="B134" s="357" t="s">
        <v>157</v>
      </c>
      <c r="C134" s="358" t="s">
        <v>270</v>
      </c>
      <c r="D134" s="358" t="s">
        <v>70</v>
      </c>
      <c r="E134" s="356">
        <v>8.5</v>
      </c>
      <c r="F134" s="304" t="s">
        <v>109</v>
      </c>
      <c r="G134" s="360">
        <f t="shared" si="3"/>
        <v>8.5</v>
      </c>
    </row>
    <row r="135" spans="1:7" ht="39" customHeight="1">
      <c r="A135" s="356"/>
      <c r="B135" s="357" t="s">
        <v>610</v>
      </c>
      <c r="C135" s="335" t="s">
        <v>79</v>
      </c>
      <c r="D135" s="335" t="s">
        <v>70</v>
      </c>
      <c r="E135" s="361">
        <f>(E112/E123)</f>
        <v>2437.174788079928</v>
      </c>
      <c r="F135" s="304" t="s">
        <v>109</v>
      </c>
      <c r="G135" s="360">
        <f t="shared" si="3"/>
        <v>2437.174788079928</v>
      </c>
    </row>
    <row r="136" spans="1:7" ht="15.75" customHeight="1">
      <c r="A136" s="304"/>
      <c r="B136" s="333" t="s">
        <v>202</v>
      </c>
      <c r="C136" s="318"/>
      <c r="D136" s="318"/>
      <c r="E136" s="304"/>
      <c r="F136" s="304" t="s">
        <v>109</v>
      </c>
      <c r="G136" s="313"/>
    </row>
    <row r="137" spans="1:7" ht="24" customHeight="1">
      <c r="A137" s="304"/>
      <c r="B137" s="308" t="s">
        <v>405</v>
      </c>
      <c r="C137" s="318" t="s">
        <v>71</v>
      </c>
      <c r="D137" s="318" t="s">
        <v>70</v>
      </c>
      <c r="E137" s="304">
        <v>100</v>
      </c>
      <c r="F137" s="304" t="s">
        <v>109</v>
      </c>
      <c r="G137" s="313">
        <f>E137</f>
        <v>100</v>
      </c>
    </row>
    <row r="138" spans="1:7" ht="35.25" customHeight="1">
      <c r="A138" s="328"/>
      <c r="B138" s="308" t="s">
        <v>261</v>
      </c>
      <c r="C138" s="318" t="s">
        <v>71</v>
      </c>
      <c r="D138" s="318" t="s">
        <v>70</v>
      </c>
      <c r="E138" s="304">
        <v>51.8</v>
      </c>
      <c r="F138" s="304" t="s">
        <v>109</v>
      </c>
      <c r="G138" s="330">
        <f>E138</f>
        <v>51.8</v>
      </c>
    </row>
    <row r="139" spans="1:7" ht="43.5" customHeight="1">
      <c r="A139" s="328"/>
      <c r="B139" s="308" t="s">
        <v>262</v>
      </c>
      <c r="C139" s="318" t="s">
        <v>71</v>
      </c>
      <c r="D139" s="318" t="s">
        <v>70</v>
      </c>
      <c r="E139" s="304">
        <v>63.2</v>
      </c>
      <c r="F139" s="304" t="s">
        <v>109</v>
      </c>
      <c r="G139" s="330">
        <f>E139</f>
        <v>63.2</v>
      </c>
    </row>
    <row r="140" spans="1:7" ht="29.25" customHeight="1">
      <c r="A140" s="328"/>
      <c r="B140" s="308" t="s">
        <v>263</v>
      </c>
      <c r="C140" s="318" t="s">
        <v>71</v>
      </c>
      <c r="D140" s="318" t="s">
        <v>70</v>
      </c>
      <c r="E140" s="304">
        <v>1.38</v>
      </c>
      <c r="F140" s="304" t="s">
        <v>109</v>
      </c>
      <c r="G140" s="340">
        <f>E140</f>
        <v>1.38</v>
      </c>
    </row>
    <row r="141" spans="1:7" ht="15.75" customHeight="1">
      <c r="A141" s="328"/>
      <c r="B141" s="308" t="s">
        <v>158</v>
      </c>
      <c r="C141" s="318" t="s">
        <v>71</v>
      </c>
      <c r="D141" s="318" t="s">
        <v>70</v>
      </c>
      <c r="E141" s="304">
        <v>-0.58</v>
      </c>
      <c r="F141" s="304" t="s">
        <v>109</v>
      </c>
      <c r="G141" s="340">
        <f>E141</f>
        <v>-0.58</v>
      </c>
    </row>
    <row r="142" spans="1:7" ht="21" customHeight="1">
      <c r="A142" s="328"/>
      <c r="B142" s="362"/>
      <c r="C142" s="363"/>
      <c r="D142" s="363"/>
      <c r="E142" s="364"/>
      <c r="F142" s="364"/>
      <c r="G142" s="365"/>
    </row>
    <row r="143" spans="1:7" ht="29.25" customHeight="1">
      <c r="A143" s="304" t="s">
        <v>171</v>
      </c>
      <c r="B143" s="477" t="s">
        <v>406</v>
      </c>
      <c r="C143" s="477"/>
      <c r="D143" s="477"/>
      <c r="E143" s="477"/>
      <c r="F143" s="477"/>
      <c r="G143" s="477"/>
    </row>
    <row r="144" spans="1:7" ht="30" customHeight="1">
      <c r="A144" s="328"/>
      <c r="B144" s="366" t="s">
        <v>105</v>
      </c>
      <c r="C144" s="367" t="s">
        <v>79</v>
      </c>
      <c r="D144" s="367" t="s">
        <v>61</v>
      </c>
      <c r="E144" s="368">
        <f>E145+E147+E149+E151+E153</f>
        <v>5466721</v>
      </c>
      <c r="F144" s="304" t="s">
        <v>109</v>
      </c>
      <c r="G144" s="369">
        <f aca="true" t="shared" si="4" ref="G144:G158">E144</f>
        <v>5466721</v>
      </c>
    </row>
    <row r="145" spans="1:7" ht="29.25" customHeight="1">
      <c r="A145" s="328"/>
      <c r="B145" s="334" t="s">
        <v>106</v>
      </c>
      <c r="C145" s="367" t="s">
        <v>79</v>
      </c>
      <c r="D145" s="367" t="s">
        <v>61</v>
      </c>
      <c r="E145" s="368">
        <v>3044464</v>
      </c>
      <c r="F145" s="304" t="s">
        <v>109</v>
      </c>
      <c r="G145" s="369">
        <f t="shared" si="4"/>
        <v>3044464</v>
      </c>
    </row>
    <row r="146" spans="1:7" ht="29.25" customHeight="1">
      <c r="A146" s="328"/>
      <c r="B146" s="334" t="s">
        <v>107</v>
      </c>
      <c r="C146" s="367" t="s">
        <v>153</v>
      </c>
      <c r="D146" s="367" t="s">
        <v>108</v>
      </c>
      <c r="E146" s="309">
        <f>12816</f>
        <v>12816</v>
      </c>
      <c r="F146" s="304" t="s">
        <v>109</v>
      </c>
      <c r="G146" s="313">
        <f t="shared" si="4"/>
        <v>12816</v>
      </c>
    </row>
    <row r="147" spans="1:7" ht="31.5" customHeight="1">
      <c r="A147" s="328"/>
      <c r="B147" s="334" t="s">
        <v>110</v>
      </c>
      <c r="C147" s="367" t="s">
        <v>79</v>
      </c>
      <c r="D147" s="367" t="s">
        <v>61</v>
      </c>
      <c r="E147" s="368">
        <v>211380</v>
      </c>
      <c r="F147" s="304" t="s">
        <v>109</v>
      </c>
      <c r="G147" s="369">
        <f t="shared" si="4"/>
        <v>211380</v>
      </c>
    </row>
    <row r="148" spans="1:7" ht="24.75" customHeight="1">
      <c r="A148" s="328"/>
      <c r="B148" s="334" t="s">
        <v>111</v>
      </c>
      <c r="C148" s="367" t="s">
        <v>153</v>
      </c>
      <c r="D148" s="367" t="s">
        <v>108</v>
      </c>
      <c r="E148" s="309">
        <v>16394</v>
      </c>
      <c r="F148" s="304" t="s">
        <v>109</v>
      </c>
      <c r="G148" s="313">
        <f t="shared" si="4"/>
        <v>16394</v>
      </c>
    </row>
    <row r="149" spans="1:7" ht="24.75" customHeight="1">
      <c r="A149" s="328"/>
      <c r="B149" s="334" t="s">
        <v>112</v>
      </c>
      <c r="C149" s="367" t="s">
        <v>79</v>
      </c>
      <c r="D149" s="367" t="s">
        <v>61</v>
      </c>
      <c r="E149" s="368">
        <v>2157160</v>
      </c>
      <c r="F149" s="304" t="s">
        <v>109</v>
      </c>
      <c r="G149" s="369">
        <f t="shared" si="4"/>
        <v>2157160</v>
      </c>
    </row>
    <row r="150" spans="1:7" ht="22.5" customHeight="1">
      <c r="A150" s="328"/>
      <c r="B150" s="334" t="s">
        <v>111</v>
      </c>
      <c r="C150" s="367" t="s">
        <v>153</v>
      </c>
      <c r="D150" s="367" t="s">
        <v>108</v>
      </c>
      <c r="E150" s="309">
        <v>16394</v>
      </c>
      <c r="F150" s="304" t="s">
        <v>109</v>
      </c>
      <c r="G150" s="313">
        <f t="shared" si="4"/>
        <v>16394</v>
      </c>
    </row>
    <row r="151" spans="1:7" ht="15.75" customHeight="1">
      <c r="A151" s="328"/>
      <c r="B151" s="334" t="s">
        <v>113</v>
      </c>
      <c r="C151" s="367" t="s">
        <v>79</v>
      </c>
      <c r="D151" s="367" t="s">
        <v>61</v>
      </c>
      <c r="E151" s="368">
        <v>16477</v>
      </c>
      <c r="F151" s="304" t="s">
        <v>109</v>
      </c>
      <c r="G151" s="369">
        <f t="shared" si="4"/>
        <v>16477</v>
      </c>
    </row>
    <row r="152" spans="1:7" ht="18.75" customHeight="1">
      <c r="A152" s="328"/>
      <c r="B152" s="334" t="s">
        <v>111</v>
      </c>
      <c r="C152" s="367" t="s">
        <v>153</v>
      </c>
      <c r="D152" s="367" t="s">
        <v>108</v>
      </c>
      <c r="E152" s="309">
        <v>67</v>
      </c>
      <c r="F152" s="304" t="s">
        <v>109</v>
      </c>
      <c r="G152" s="313">
        <f t="shared" si="4"/>
        <v>67</v>
      </c>
    </row>
    <row r="153" spans="1:7" ht="21" customHeight="1">
      <c r="A153" s="328"/>
      <c r="B153" s="334" t="s">
        <v>282</v>
      </c>
      <c r="C153" s="367" t="s">
        <v>79</v>
      </c>
      <c r="D153" s="367" t="s">
        <v>61</v>
      </c>
      <c r="E153" s="368">
        <f>E154+E155+E158</f>
        <v>37240</v>
      </c>
      <c r="F153" s="304" t="s">
        <v>109</v>
      </c>
      <c r="G153" s="369">
        <f t="shared" si="4"/>
        <v>37240</v>
      </c>
    </row>
    <row r="154" spans="1:7" ht="21" customHeight="1">
      <c r="A154" s="328"/>
      <c r="B154" s="334" t="s">
        <v>283</v>
      </c>
      <c r="C154" s="367" t="s">
        <v>79</v>
      </c>
      <c r="D154" s="367" t="s">
        <v>61</v>
      </c>
      <c r="E154" s="309">
        <v>6160</v>
      </c>
      <c r="F154" s="304" t="s">
        <v>109</v>
      </c>
      <c r="G154" s="313">
        <f t="shared" si="4"/>
        <v>6160</v>
      </c>
    </row>
    <row r="155" spans="1:7" ht="29.25" customHeight="1">
      <c r="A155" s="328"/>
      <c r="B155" s="334" t="s">
        <v>284</v>
      </c>
      <c r="C155" s="367" t="s">
        <v>79</v>
      </c>
      <c r="D155" s="367" t="s">
        <v>61</v>
      </c>
      <c r="E155" s="309">
        <v>4680</v>
      </c>
      <c r="F155" s="304" t="s">
        <v>109</v>
      </c>
      <c r="G155" s="313">
        <f t="shared" si="4"/>
        <v>4680</v>
      </c>
    </row>
    <row r="156" spans="1:7" ht="29.25" customHeight="1">
      <c r="A156" s="328"/>
      <c r="B156" s="334" t="s">
        <v>293</v>
      </c>
      <c r="C156" s="367" t="s">
        <v>153</v>
      </c>
      <c r="D156" s="367" t="s">
        <v>108</v>
      </c>
      <c r="E156" s="309">
        <v>60</v>
      </c>
      <c r="F156" s="304" t="s">
        <v>109</v>
      </c>
      <c r="G156" s="313">
        <f t="shared" si="4"/>
        <v>60</v>
      </c>
    </row>
    <row r="157" spans="1:7" ht="30.75" customHeight="1">
      <c r="A157" s="328"/>
      <c r="B157" s="334" t="s">
        <v>294</v>
      </c>
      <c r="C157" s="367" t="s">
        <v>153</v>
      </c>
      <c r="D157" s="367" t="s">
        <v>108</v>
      </c>
      <c r="E157" s="309">
        <v>60</v>
      </c>
      <c r="F157" s="304" t="s">
        <v>109</v>
      </c>
      <c r="G157" s="313">
        <f t="shared" si="4"/>
        <v>60</v>
      </c>
    </row>
    <row r="158" spans="1:7" ht="19.5" customHeight="1">
      <c r="A158" s="328"/>
      <c r="B158" s="334" t="s">
        <v>407</v>
      </c>
      <c r="C158" s="367" t="s">
        <v>79</v>
      </c>
      <c r="D158" s="367" t="s">
        <v>61</v>
      </c>
      <c r="E158" s="309">
        <v>26400</v>
      </c>
      <c r="F158" s="304" t="s">
        <v>109</v>
      </c>
      <c r="G158" s="313">
        <f t="shared" si="4"/>
        <v>26400</v>
      </c>
    </row>
    <row r="159" spans="1:7" ht="37.5" customHeight="1">
      <c r="A159" s="328"/>
      <c r="B159" s="366" t="s">
        <v>200</v>
      </c>
      <c r="C159" s="367"/>
      <c r="D159" s="367"/>
      <c r="E159" s="304"/>
      <c r="F159" s="304" t="s">
        <v>109</v>
      </c>
      <c r="G159" s="330"/>
    </row>
    <row r="160" spans="1:7" ht="30.75" customHeight="1">
      <c r="A160" s="328"/>
      <c r="B160" s="334" t="s">
        <v>410</v>
      </c>
      <c r="C160" s="367" t="s">
        <v>114</v>
      </c>
      <c r="D160" s="367"/>
      <c r="E160" s="304"/>
      <c r="F160" s="304" t="s">
        <v>109</v>
      </c>
      <c r="G160" s="330"/>
    </row>
    <row r="161" spans="1:7" ht="30" customHeight="1">
      <c r="A161" s="328"/>
      <c r="B161" s="334" t="s">
        <v>106</v>
      </c>
      <c r="C161" s="367" t="s">
        <v>115</v>
      </c>
      <c r="D161" s="367" t="s">
        <v>116</v>
      </c>
      <c r="E161" s="309">
        <v>2157.25117</v>
      </c>
      <c r="F161" s="304" t="s">
        <v>109</v>
      </c>
      <c r="G161" s="370">
        <f>E161</f>
        <v>2157.25117</v>
      </c>
    </row>
    <row r="162" spans="1:7" ht="15.75" customHeight="1">
      <c r="A162" s="328"/>
      <c r="B162" s="334" t="s">
        <v>110</v>
      </c>
      <c r="C162" s="367" t="s">
        <v>117</v>
      </c>
      <c r="D162" s="367" t="s">
        <v>116</v>
      </c>
      <c r="E162" s="309">
        <f>8670.2215*2</f>
        <v>17340.443</v>
      </c>
      <c r="F162" s="304" t="s">
        <v>109</v>
      </c>
      <c r="G162" s="370">
        <f>E162</f>
        <v>17340.443</v>
      </c>
    </row>
    <row r="163" spans="1:7" ht="17.25" customHeight="1">
      <c r="A163" s="328"/>
      <c r="B163" s="334" t="s">
        <v>112</v>
      </c>
      <c r="C163" s="367" t="s">
        <v>118</v>
      </c>
      <c r="D163" s="367" t="s">
        <v>116</v>
      </c>
      <c r="E163" s="309">
        <v>705293</v>
      </c>
      <c r="F163" s="304" t="s">
        <v>109</v>
      </c>
      <c r="G163" s="370">
        <f>E163</f>
        <v>705293</v>
      </c>
    </row>
    <row r="164" spans="1:7" ht="14.25" customHeight="1">
      <c r="A164" s="328"/>
      <c r="B164" s="334" t="s">
        <v>113</v>
      </c>
      <c r="C164" s="367" t="s">
        <v>117</v>
      </c>
      <c r="D164" s="367" t="s">
        <v>116</v>
      </c>
      <c r="E164" s="309">
        <v>1583</v>
      </c>
      <c r="F164" s="304" t="s">
        <v>109</v>
      </c>
      <c r="G164" s="370">
        <f>E164</f>
        <v>1583</v>
      </c>
    </row>
    <row r="165" spans="1:7" ht="15.75" customHeight="1">
      <c r="A165" s="328"/>
      <c r="B165" s="334" t="s">
        <v>282</v>
      </c>
      <c r="C165" s="371"/>
      <c r="D165" s="367"/>
      <c r="E165" s="309"/>
      <c r="F165" s="304" t="s">
        <v>109</v>
      </c>
      <c r="G165" s="370"/>
    </row>
    <row r="166" spans="1:7" ht="14.25" customHeight="1">
      <c r="A166" s="328"/>
      <c r="B166" s="334" t="s">
        <v>283</v>
      </c>
      <c r="C166" s="367" t="s">
        <v>280</v>
      </c>
      <c r="D166" s="367" t="s">
        <v>116</v>
      </c>
      <c r="E166" s="309">
        <v>2200</v>
      </c>
      <c r="F166" s="304" t="s">
        <v>109</v>
      </c>
      <c r="G166" s="370">
        <f>E166</f>
        <v>2200</v>
      </c>
    </row>
    <row r="167" spans="1:7" ht="15" customHeight="1">
      <c r="A167" s="328"/>
      <c r="B167" s="334" t="s">
        <v>284</v>
      </c>
      <c r="C167" s="367" t="s">
        <v>279</v>
      </c>
      <c r="D167" s="367" t="s">
        <v>116</v>
      </c>
      <c r="E167" s="304">
        <v>6</v>
      </c>
      <c r="F167" s="304" t="s">
        <v>109</v>
      </c>
      <c r="G167" s="370">
        <f>E167</f>
        <v>6</v>
      </c>
    </row>
    <row r="168" spans="1:7" ht="17.25" customHeight="1">
      <c r="A168" s="328"/>
      <c r="B168" s="334" t="s">
        <v>408</v>
      </c>
      <c r="C168" s="367" t="s">
        <v>279</v>
      </c>
      <c r="D168" s="367" t="s">
        <v>116</v>
      </c>
      <c r="E168" s="304">
        <v>593.26</v>
      </c>
      <c r="F168" s="304" t="s">
        <v>109</v>
      </c>
      <c r="G168" s="372">
        <f>E168</f>
        <v>593.26</v>
      </c>
    </row>
    <row r="169" spans="1:7" ht="29.25" customHeight="1">
      <c r="A169" s="328"/>
      <c r="B169" s="366" t="s">
        <v>201</v>
      </c>
      <c r="C169" s="367"/>
      <c r="D169" s="367"/>
      <c r="E169" s="304"/>
      <c r="F169" s="304" t="s">
        <v>109</v>
      </c>
      <c r="G169" s="330"/>
    </row>
    <row r="170" spans="1:7" ht="33.75" customHeight="1">
      <c r="A170" s="328"/>
      <c r="B170" s="334" t="s">
        <v>119</v>
      </c>
      <c r="C170" s="367"/>
      <c r="D170" s="367"/>
      <c r="E170" s="304"/>
      <c r="F170" s="304" t="s">
        <v>109</v>
      </c>
      <c r="G170" s="330"/>
    </row>
    <row r="171" spans="1:7" ht="45.75" customHeight="1">
      <c r="A171" s="328"/>
      <c r="B171" s="334" t="s">
        <v>120</v>
      </c>
      <c r="C171" s="367" t="s">
        <v>79</v>
      </c>
      <c r="D171" s="367" t="s">
        <v>70</v>
      </c>
      <c r="E171" s="359">
        <f>E146/E161</f>
        <v>5.940893753229486</v>
      </c>
      <c r="F171" s="304" t="s">
        <v>109</v>
      </c>
      <c r="G171" s="372">
        <f aca="true" t="shared" si="5" ref="G171:G177">E171</f>
        <v>5.940893753229486</v>
      </c>
    </row>
    <row r="172" spans="1:7" ht="30.75" customHeight="1">
      <c r="A172" s="328"/>
      <c r="B172" s="334" t="s">
        <v>121</v>
      </c>
      <c r="C172" s="367" t="s">
        <v>79</v>
      </c>
      <c r="D172" s="367" t="s">
        <v>70</v>
      </c>
      <c r="E172" s="359">
        <f>E148/E162</f>
        <v>0.9454199065156524</v>
      </c>
      <c r="F172" s="304" t="s">
        <v>109</v>
      </c>
      <c r="G172" s="372">
        <f t="shared" si="5"/>
        <v>0.9454199065156524</v>
      </c>
    </row>
    <row r="173" spans="1:7" ht="35.25" customHeight="1">
      <c r="A173" s="328"/>
      <c r="B173" s="334" t="s">
        <v>122</v>
      </c>
      <c r="C173" s="367" t="s">
        <v>79</v>
      </c>
      <c r="D173" s="367" t="s">
        <v>70</v>
      </c>
      <c r="E173" s="359">
        <f>E150/E163</f>
        <v>0.023244240336994695</v>
      </c>
      <c r="F173" s="304" t="s">
        <v>109</v>
      </c>
      <c r="G173" s="372">
        <f t="shared" si="5"/>
        <v>0.023244240336994695</v>
      </c>
    </row>
    <row r="174" spans="1:7" ht="17.25" customHeight="1">
      <c r="A174" s="328"/>
      <c r="B174" s="334" t="s">
        <v>123</v>
      </c>
      <c r="C174" s="367" t="s">
        <v>79</v>
      </c>
      <c r="D174" s="367" t="s">
        <v>70</v>
      </c>
      <c r="E174" s="359">
        <f>E152/E164</f>
        <v>0.04232469993682881</v>
      </c>
      <c r="F174" s="304" t="s">
        <v>109</v>
      </c>
      <c r="G174" s="372">
        <f t="shared" si="5"/>
        <v>0.04232469993682881</v>
      </c>
    </row>
    <row r="175" spans="1:7" ht="17.25" customHeight="1">
      <c r="A175" s="328"/>
      <c r="B175" s="334" t="s">
        <v>295</v>
      </c>
      <c r="C175" s="367" t="s">
        <v>79</v>
      </c>
      <c r="D175" s="367" t="s">
        <v>70</v>
      </c>
      <c r="E175" s="359">
        <f>E156/E166</f>
        <v>0.02727272727272727</v>
      </c>
      <c r="F175" s="304" t="s">
        <v>109</v>
      </c>
      <c r="G175" s="372">
        <f t="shared" si="5"/>
        <v>0.02727272727272727</v>
      </c>
    </row>
    <row r="176" spans="1:7" ht="19.5" customHeight="1">
      <c r="A176" s="328"/>
      <c r="B176" s="334" t="s">
        <v>296</v>
      </c>
      <c r="C176" s="367" t="s">
        <v>79</v>
      </c>
      <c r="D176" s="367" t="s">
        <v>70</v>
      </c>
      <c r="E176" s="359">
        <f>E157/E167</f>
        <v>10</v>
      </c>
      <c r="F176" s="304" t="s">
        <v>109</v>
      </c>
      <c r="G176" s="372">
        <f t="shared" si="5"/>
        <v>10</v>
      </c>
    </row>
    <row r="177" spans="1:7" ht="18.75" customHeight="1">
      <c r="A177" s="328"/>
      <c r="B177" s="334" t="s">
        <v>408</v>
      </c>
      <c r="C177" s="367" t="s">
        <v>79</v>
      </c>
      <c r="D177" s="367" t="s">
        <v>70</v>
      </c>
      <c r="E177" s="359">
        <f>E158/E168</f>
        <v>44.499882007888615</v>
      </c>
      <c r="F177" s="304" t="s">
        <v>109</v>
      </c>
      <c r="G177" s="372">
        <f t="shared" si="5"/>
        <v>44.499882007888615</v>
      </c>
    </row>
    <row r="178" spans="1:7" ht="54" customHeight="1">
      <c r="A178" s="328"/>
      <c r="B178" s="366" t="s">
        <v>202</v>
      </c>
      <c r="C178" s="367"/>
      <c r="D178" s="367"/>
      <c r="E178" s="304"/>
      <c r="F178" s="304" t="s">
        <v>109</v>
      </c>
      <c r="G178" s="330"/>
    </row>
    <row r="179" spans="1:7" ht="34.5" customHeight="1">
      <c r="A179" s="328"/>
      <c r="B179" s="373" t="s">
        <v>409</v>
      </c>
      <c r="C179" s="367" t="s">
        <v>71</v>
      </c>
      <c r="D179" s="367" t="s">
        <v>70</v>
      </c>
      <c r="E179" s="304">
        <v>100</v>
      </c>
      <c r="F179" s="304" t="s">
        <v>109</v>
      </c>
      <c r="G179" s="374">
        <f>E179</f>
        <v>100</v>
      </c>
    </row>
    <row r="180" spans="1:7" ht="30" customHeight="1">
      <c r="A180" s="375" t="s">
        <v>172</v>
      </c>
      <c r="B180" s="478" t="s">
        <v>594</v>
      </c>
      <c r="C180" s="478"/>
      <c r="D180" s="478"/>
      <c r="E180" s="478"/>
      <c r="F180" s="478"/>
      <c r="G180" s="478"/>
    </row>
    <row r="181" spans="1:7" ht="33.75" customHeight="1">
      <c r="A181" s="376"/>
      <c r="B181" s="377" t="s">
        <v>267</v>
      </c>
      <c r="C181" s="367"/>
      <c r="D181" s="367"/>
      <c r="E181" s="378"/>
      <c r="F181" s="379"/>
      <c r="G181" s="378"/>
    </row>
    <row r="182" spans="1:7" ht="38.25" customHeight="1">
      <c r="A182" s="376"/>
      <c r="B182" s="373" t="s">
        <v>418</v>
      </c>
      <c r="C182" s="367" t="s">
        <v>79</v>
      </c>
      <c r="D182" s="367" t="s">
        <v>611</v>
      </c>
      <c r="E182" s="379">
        <f>E184+E183</f>
        <v>9812.85</v>
      </c>
      <c r="F182" s="380">
        <f>F184</f>
        <v>1206899</v>
      </c>
      <c r="G182" s="381">
        <f>E182+F182</f>
        <v>1216711.85</v>
      </c>
    </row>
    <row r="183" spans="1:7" ht="24" customHeight="1">
      <c r="A183" s="376"/>
      <c r="B183" s="373" t="s">
        <v>638</v>
      </c>
      <c r="C183" s="367" t="s">
        <v>79</v>
      </c>
      <c r="D183" s="367" t="s">
        <v>611</v>
      </c>
      <c r="E183" s="379">
        <v>9812.85</v>
      </c>
      <c r="F183" s="380"/>
      <c r="G183" s="381">
        <f aca="true" t="shared" si="6" ref="G183:G190">E183+F183</f>
        <v>9812.85</v>
      </c>
    </row>
    <row r="184" spans="1:7" ht="80.25" customHeight="1">
      <c r="A184" s="376"/>
      <c r="B184" s="382" t="s">
        <v>637</v>
      </c>
      <c r="C184" s="367" t="s">
        <v>79</v>
      </c>
      <c r="D184" s="367" t="s">
        <v>70</v>
      </c>
      <c r="E184" s="378">
        <v>0</v>
      </c>
      <c r="F184" s="380">
        <f>1208676.87-1777.87</f>
        <v>1206899</v>
      </c>
      <c r="G184" s="381">
        <f t="shared" si="6"/>
        <v>1206899</v>
      </c>
    </row>
    <row r="185" spans="1:7" ht="30" customHeight="1">
      <c r="A185" s="376"/>
      <c r="B185" s="377" t="s">
        <v>268</v>
      </c>
      <c r="C185" s="367"/>
      <c r="D185" s="367"/>
      <c r="E185" s="378"/>
      <c r="F185" s="379"/>
      <c r="G185" s="381"/>
    </row>
    <row r="186" spans="1:7" ht="24" customHeight="1">
      <c r="A186" s="376"/>
      <c r="B186" s="373" t="s">
        <v>639</v>
      </c>
      <c r="C186" s="367" t="s">
        <v>251</v>
      </c>
      <c r="D186" s="367" t="s">
        <v>70</v>
      </c>
      <c r="E186" s="378">
        <v>3</v>
      </c>
      <c r="F186" s="392">
        <v>0</v>
      </c>
      <c r="G186" s="378">
        <f t="shared" si="6"/>
        <v>3</v>
      </c>
    </row>
    <row r="187" spans="1:7" ht="30" customHeight="1">
      <c r="A187" s="376"/>
      <c r="B187" s="373" t="s">
        <v>612</v>
      </c>
      <c r="C187" s="367" t="s">
        <v>251</v>
      </c>
      <c r="D187" s="367" t="s">
        <v>70</v>
      </c>
      <c r="E187" s="393">
        <v>0</v>
      </c>
      <c r="F187" s="395">
        <v>22</v>
      </c>
      <c r="G187" s="378">
        <f t="shared" si="6"/>
        <v>22</v>
      </c>
    </row>
    <row r="188" spans="1:7" ht="30" customHeight="1">
      <c r="A188" s="376"/>
      <c r="B188" s="377" t="s">
        <v>269</v>
      </c>
      <c r="C188" s="367"/>
      <c r="D188" s="367"/>
      <c r="E188" s="393"/>
      <c r="F188" s="394"/>
      <c r="G188" s="378"/>
    </row>
    <row r="189" spans="1:7" ht="30.75" customHeight="1">
      <c r="A189" s="376"/>
      <c r="B189" s="373" t="s">
        <v>613</v>
      </c>
      <c r="C189" s="367" t="s">
        <v>79</v>
      </c>
      <c r="D189" s="367" t="s">
        <v>432</v>
      </c>
      <c r="E189" s="393">
        <f>E183/E186</f>
        <v>3270.9500000000003</v>
      </c>
      <c r="F189" s="394">
        <v>0</v>
      </c>
      <c r="G189" s="381">
        <f t="shared" si="6"/>
        <v>3270.9500000000003</v>
      </c>
    </row>
    <row r="190" spans="1:7" ht="29.25" customHeight="1">
      <c r="A190" s="376"/>
      <c r="B190" s="373" t="s">
        <v>614</v>
      </c>
      <c r="C190" s="367" t="s">
        <v>79</v>
      </c>
      <c r="D190" s="367" t="s">
        <v>432</v>
      </c>
      <c r="E190" s="393">
        <v>0</v>
      </c>
      <c r="F190" s="394">
        <f>F184/F187</f>
        <v>54859.045454545456</v>
      </c>
      <c r="G190" s="381">
        <f t="shared" si="6"/>
        <v>54859.045454545456</v>
      </c>
    </row>
    <row r="191" spans="1:7" ht="15.75" customHeight="1">
      <c r="A191" s="376"/>
      <c r="B191" s="377" t="s">
        <v>589</v>
      </c>
      <c r="C191" s="367"/>
      <c r="D191" s="367"/>
      <c r="E191" s="378"/>
      <c r="F191" s="379"/>
      <c r="G191" s="378"/>
    </row>
    <row r="192" spans="1:7" ht="15.75" customHeight="1">
      <c r="A192" s="376"/>
      <c r="B192" s="373" t="s">
        <v>303</v>
      </c>
      <c r="C192" s="367" t="s">
        <v>615</v>
      </c>
      <c r="D192" s="367" t="s">
        <v>432</v>
      </c>
      <c r="E192" s="378">
        <v>100</v>
      </c>
      <c r="F192" s="379" t="s">
        <v>109</v>
      </c>
      <c r="G192" s="378">
        <v>100</v>
      </c>
    </row>
    <row r="193" spans="1:7" ht="15.75">
      <c r="A193" s="376"/>
      <c r="B193" s="373"/>
      <c r="C193" s="367"/>
      <c r="D193" s="367"/>
      <c r="E193" s="378"/>
      <c r="F193" s="379"/>
      <c r="G193" s="378"/>
    </row>
    <row r="194" spans="1:7" ht="15.75">
      <c r="A194" s="375" t="s">
        <v>9</v>
      </c>
      <c r="B194" s="478" t="s">
        <v>665</v>
      </c>
      <c r="C194" s="478"/>
      <c r="D194" s="478"/>
      <c r="E194" s="478"/>
      <c r="F194" s="478"/>
      <c r="G194" s="478"/>
    </row>
    <row r="195" spans="1:7" ht="15.75">
      <c r="A195" s="376"/>
      <c r="B195" s="377" t="s">
        <v>267</v>
      </c>
      <c r="C195" s="367"/>
      <c r="D195" s="367"/>
      <c r="E195" s="378"/>
      <c r="F195" s="379"/>
      <c r="G195" s="378"/>
    </row>
    <row r="196" spans="1:7" ht="31.5">
      <c r="A196" s="376"/>
      <c r="B196" s="373" t="s">
        <v>418</v>
      </c>
      <c r="C196" s="367" t="s">
        <v>79</v>
      </c>
      <c r="D196" s="367" t="s">
        <v>611</v>
      </c>
      <c r="E196" s="379">
        <v>0</v>
      </c>
      <c r="F196" s="380">
        <f>F197</f>
        <v>1777.87</v>
      </c>
      <c r="G196" s="381">
        <f>E196+F196</f>
        <v>1777.87</v>
      </c>
    </row>
    <row r="197" spans="1:7" ht="25.5">
      <c r="A197" s="376"/>
      <c r="B197" s="382" t="s">
        <v>666</v>
      </c>
      <c r="C197" s="367" t="s">
        <v>79</v>
      </c>
      <c r="D197" s="367" t="s">
        <v>70</v>
      </c>
      <c r="E197" s="378">
        <v>0</v>
      </c>
      <c r="F197" s="380">
        <v>1777.87</v>
      </c>
      <c r="G197" s="381">
        <f>E197+F197</f>
        <v>1777.87</v>
      </c>
    </row>
    <row r="198" spans="1:7" ht="15.75">
      <c r="A198" s="376"/>
      <c r="B198" s="377" t="s">
        <v>268</v>
      </c>
      <c r="C198" s="367"/>
      <c r="D198" s="367"/>
      <c r="E198" s="378"/>
      <c r="F198" s="379"/>
      <c r="G198" s="381"/>
    </row>
    <row r="199" spans="1:7" ht="31.5">
      <c r="A199" s="376"/>
      <c r="B199" s="373" t="s">
        <v>595</v>
      </c>
      <c r="C199" s="367" t="s">
        <v>251</v>
      </c>
      <c r="D199" s="367" t="s">
        <v>70</v>
      </c>
      <c r="E199" s="393">
        <v>0</v>
      </c>
      <c r="F199" s="395">
        <v>1</v>
      </c>
      <c r="G199" s="378">
        <f>E199+F199</f>
        <v>1</v>
      </c>
    </row>
    <row r="200" spans="1:7" ht="15.75">
      <c r="A200" s="376"/>
      <c r="B200" s="377" t="s">
        <v>269</v>
      </c>
      <c r="C200" s="367"/>
      <c r="D200" s="367"/>
      <c r="E200" s="393"/>
      <c r="F200" s="394"/>
      <c r="G200" s="378"/>
    </row>
    <row r="201" spans="1:7" ht="47.25">
      <c r="A201" s="376"/>
      <c r="B201" s="373" t="s">
        <v>614</v>
      </c>
      <c r="C201" s="367" t="s">
        <v>79</v>
      </c>
      <c r="D201" s="367" t="s">
        <v>432</v>
      </c>
      <c r="E201" s="393">
        <v>0</v>
      </c>
      <c r="F201" s="394">
        <f>F197/F199</f>
        <v>1777.87</v>
      </c>
      <c r="G201" s="381">
        <f>E201+F201</f>
        <v>1777.87</v>
      </c>
    </row>
    <row r="202" spans="1:7" ht="15.75">
      <c r="A202" s="376"/>
      <c r="B202" s="377" t="s">
        <v>589</v>
      </c>
      <c r="C202" s="367"/>
      <c r="D202" s="367"/>
      <c r="E202" s="393"/>
      <c r="F202" s="379"/>
      <c r="G202" s="378"/>
    </row>
    <row r="203" spans="1:7" ht="15.75">
      <c r="A203" s="376"/>
      <c r="B203" s="373" t="s">
        <v>303</v>
      </c>
      <c r="C203" s="367" t="s">
        <v>615</v>
      </c>
      <c r="D203" s="367" t="s">
        <v>432</v>
      </c>
      <c r="E203" s="393">
        <v>0</v>
      </c>
      <c r="F203" s="379">
        <f>F201/60000*100</f>
        <v>2.963116666666666</v>
      </c>
      <c r="G203" s="379">
        <f>G201/60000*100</f>
        <v>2.963116666666666</v>
      </c>
    </row>
    <row r="204" spans="1:7" ht="15.75">
      <c r="A204" s="376"/>
      <c r="B204" s="373"/>
      <c r="C204" s="367"/>
      <c r="D204" s="367"/>
      <c r="E204" s="378"/>
      <c r="F204" s="379"/>
      <c r="G204" s="378"/>
    </row>
    <row r="205" spans="1:7" ht="15.75">
      <c r="A205" s="15"/>
      <c r="B205" s="63"/>
      <c r="C205" s="135"/>
      <c r="D205" s="63"/>
      <c r="E205" s="16"/>
      <c r="F205" s="136"/>
      <c r="G205" s="26"/>
    </row>
    <row r="206" ht="15.75">
      <c r="A206" s="3" t="s">
        <v>73</v>
      </c>
    </row>
    <row r="207" spans="1:7" ht="15.75">
      <c r="A207" s="85"/>
      <c r="B207" s="3"/>
      <c r="C207" s="3"/>
      <c r="D207" s="8"/>
      <c r="E207" s="75"/>
      <c r="F207" s="430" t="s">
        <v>74</v>
      </c>
      <c r="G207" s="430"/>
    </row>
    <row r="208" spans="1:7" ht="15.75">
      <c r="A208" s="226"/>
      <c r="B208" s="85"/>
      <c r="C208" s="85"/>
      <c r="D208" s="5" t="s">
        <v>203</v>
      </c>
      <c r="E208" s="86"/>
      <c r="F208" s="472" t="s">
        <v>75</v>
      </c>
      <c r="G208" s="473"/>
    </row>
    <row r="209" spans="1:7" ht="15.75">
      <c r="A209" s="474"/>
      <c r="B209" s="474"/>
      <c r="C209" s="85"/>
      <c r="D209" s="2"/>
      <c r="E209" s="85"/>
      <c r="F209" s="85"/>
      <c r="G209" s="85"/>
    </row>
    <row r="210" spans="1:7" ht="15.75">
      <c r="A210" s="433" t="s">
        <v>204</v>
      </c>
      <c r="B210" s="433"/>
      <c r="C210" s="85"/>
      <c r="E210" s="85"/>
      <c r="F210" s="85"/>
      <c r="G210" s="85"/>
    </row>
    <row r="211" spans="1:7" ht="15.75" customHeight="1">
      <c r="A211" s="3" t="s">
        <v>281</v>
      </c>
      <c r="B211" s="3"/>
      <c r="C211" s="3"/>
      <c r="D211" s="8"/>
      <c r="E211" s="75"/>
      <c r="F211" s="430" t="s">
        <v>76</v>
      </c>
      <c r="G211" s="430"/>
    </row>
    <row r="212" spans="1:7" ht="15.75">
      <c r="A212" s="3" t="s">
        <v>286</v>
      </c>
      <c r="B212" s="3"/>
      <c r="C212" s="85"/>
      <c r="D212" s="5" t="s">
        <v>203</v>
      </c>
      <c r="E212" s="5"/>
      <c r="F212" s="431" t="s">
        <v>75</v>
      </c>
      <c r="G212" s="432"/>
    </row>
    <row r="213" spans="1:7" ht="15.75">
      <c r="A213" s="3"/>
      <c r="B213" s="3"/>
      <c r="C213" s="85"/>
      <c r="D213" s="5"/>
      <c r="E213" s="5"/>
      <c r="F213" s="97"/>
      <c r="G213" s="400"/>
    </row>
    <row r="214" spans="1:7" ht="15.75">
      <c r="A214" s="1"/>
      <c r="B214" s="91" t="s">
        <v>161</v>
      </c>
      <c r="C214" s="2"/>
      <c r="F214" s="475"/>
      <c r="G214" s="475"/>
    </row>
    <row r="215" ht="15">
      <c r="B215" s="92" t="s">
        <v>162</v>
      </c>
    </row>
    <row r="216" ht="15">
      <c r="B216" s="23" t="s">
        <v>163</v>
      </c>
    </row>
  </sheetData>
  <sheetProtection/>
  <mergeCells count="51">
    <mergeCell ref="E1:G1"/>
    <mergeCell ref="E4:G4"/>
    <mergeCell ref="E5:G5"/>
    <mergeCell ref="E6:G6"/>
    <mergeCell ref="E7:G7"/>
    <mergeCell ref="A9:G9"/>
    <mergeCell ref="A10:G10"/>
    <mergeCell ref="D12:F12"/>
    <mergeCell ref="D13:E13"/>
    <mergeCell ref="D14:F14"/>
    <mergeCell ref="D15:E15"/>
    <mergeCell ref="E16:F16"/>
    <mergeCell ref="E17:F17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1:G31"/>
    <mergeCell ref="B33:G33"/>
    <mergeCell ref="B34:G34"/>
    <mergeCell ref="B35:G35"/>
    <mergeCell ref="B36:D36"/>
    <mergeCell ref="B37:G37"/>
    <mergeCell ref="B38:G38"/>
    <mergeCell ref="B39:G39"/>
    <mergeCell ref="B40:G40"/>
    <mergeCell ref="B41:G41"/>
    <mergeCell ref="A44:A45"/>
    <mergeCell ref="B44:G44"/>
    <mergeCell ref="A54:B54"/>
    <mergeCell ref="A56:A57"/>
    <mergeCell ref="B56:G56"/>
    <mergeCell ref="B42:G42"/>
    <mergeCell ref="B64:G64"/>
    <mergeCell ref="B68:G68"/>
    <mergeCell ref="B110:G110"/>
    <mergeCell ref="B143:G143"/>
    <mergeCell ref="B180:G180"/>
    <mergeCell ref="F207:G207"/>
    <mergeCell ref="B194:G194"/>
    <mergeCell ref="F208:G208"/>
    <mergeCell ref="A209:B209"/>
    <mergeCell ref="A210:B210"/>
    <mergeCell ref="F211:G211"/>
    <mergeCell ref="F212:G212"/>
    <mergeCell ref="F214:G214"/>
  </mergeCells>
  <printOptions/>
  <pageMargins left="0.1968503937007874" right="0.15748031496062992" top="1.1811023622047245" bottom="0.2755905511811024" header="0.31496062992125984" footer="0.31496062992125984"/>
  <pageSetup fitToHeight="8" fitToWidth="1" horizontalDpi="600" verticalDpi="6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G94"/>
  <sheetViews>
    <sheetView zoomScalePageLayoutView="0" workbookViewId="0" topLeftCell="A86">
      <selection activeCell="B36" sqref="B36:G36"/>
    </sheetView>
  </sheetViews>
  <sheetFormatPr defaultColWidth="21.57421875" defaultRowHeight="15"/>
  <cols>
    <col min="1" max="1" width="6.57421875" style="244" customWidth="1"/>
    <col min="2" max="4" width="21.57421875" style="244" customWidth="1"/>
    <col min="5" max="5" width="22.421875" style="244" customWidth="1"/>
    <col min="6" max="7" width="21.57421875" style="244" customWidth="1"/>
    <col min="8" max="28" width="10.28125" style="244" customWidth="1"/>
    <col min="29" max="16384" width="21.57421875" style="244" customWidth="1"/>
  </cols>
  <sheetData>
    <row r="1" spans="1:7" ht="15" customHeight="1">
      <c r="A1" s="243"/>
      <c r="B1" s="243"/>
      <c r="C1" s="243"/>
      <c r="D1" s="243"/>
      <c r="E1" s="517" t="s">
        <v>518</v>
      </c>
      <c r="F1" s="517"/>
      <c r="G1" s="517"/>
    </row>
    <row r="2" spans="1:7" ht="21" customHeight="1">
      <c r="A2" s="243"/>
      <c r="B2" s="243"/>
      <c r="C2" s="243"/>
      <c r="D2" s="243"/>
      <c r="E2" s="517"/>
      <c r="F2" s="517"/>
      <c r="G2" s="517"/>
    </row>
    <row r="3" spans="1:7" ht="15.75">
      <c r="A3" s="426"/>
      <c r="B3" s="243"/>
      <c r="C3" s="243"/>
      <c r="D3" s="243"/>
      <c r="E3" s="424" t="s">
        <v>166</v>
      </c>
      <c r="F3" s="245"/>
      <c r="G3" s="245"/>
    </row>
    <row r="4" spans="1:7" ht="15.75">
      <c r="A4" s="426"/>
      <c r="B4" s="243"/>
      <c r="C4" s="243"/>
      <c r="D4" s="243"/>
      <c r="E4" s="518" t="s">
        <v>216</v>
      </c>
      <c r="F4" s="518"/>
      <c r="G4" s="518"/>
    </row>
    <row r="5" spans="1:7" ht="15.75">
      <c r="A5" s="426"/>
      <c r="B5" s="426"/>
      <c r="C5" s="243"/>
      <c r="D5" s="243"/>
      <c r="E5" s="519" t="s">
        <v>207</v>
      </c>
      <c r="F5" s="519"/>
      <c r="G5" s="519"/>
    </row>
    <row r="6" spans="1:7" ht="15" customHeight="1">
      <c r="A6" s="426"/>
      <c r="B6" s="243"/>
      <c r="C6" s="243"/>
      <c r="D6" s="243"/>
      <c r="E6" s="520" t="s">
        <v>167</v>
      </c>
      <c r="F6" s="520"/>
      <c r="G6" s="520"/>
    </row>
    <row r="7" spans="1:7" ht="15" customHeight="1">
      <c r="A7" s="426"/>
      <c r="B7" s="243"/>
      <c r="C7" s="243"/>
      <c r="D7" s="243"/>
      <c r="E7" s="521" t="s">
        <v>519</v>
      </c>
      <c r="F7" s="521"/>
      <c r="G7" s="521"/>
    </row>
    <row r="8" spans="1:7" ht="15.75">
      <c r="A8" s="522" t="s">
        <v>168</v>
      </c>
      <c r="B8" s="522"/>
      <c r="C8" s="522"/>
      <c r="D8" s="522"/>
      <c r="E8" s="522"/>
      <c r="F8" s="522"/>
      <c r="G8" s="522"/>
    </row>
    <row r="9" spans="1:7" ht="15.75">
      <c r="A9" s="522" t="s">
        <v>315</v>
      </c>
      <c r="B9" s="522"/>
      <c r="C9" s="522"/>
      <c r="D9" s="522"/>
      <c r="E9" s="522"/>
      <c r="F9" s="522"/>
      <c r="G9" s="522"/>
    </row>
    <row r="10" spans="1:7" ht="15" customHeight="1">
      <c r="A10" s="246" t="s">
        <v>304</v>
      </c>
      <c r="B10" s="420" t="s">
        <v>478</v>
      </c>
      <c r="C10" s="210"/>
      <c r="D10" s="456" t="s">
        <v>207</v>
      </c>
      <c r="E10" s="457"/>
      <c r="F10" s="458"/>
      <c r="G10" s="190">
        <v>38068238</v>
      </c>
    </row>
    <row r="11" spans="1:7" ht="22.5" customHeight="1">
      <c r="A11" s="66"/>
      <c r="B11" s="422" t="s">
        <v>308</v>
      </c>
      <c r="C11" s="196"/>
      <c r="D11" s="459" t="s">
        <v>167</v>
      </c>
      <c r="E11" s="459"/>
      <c r="F11" s="212"/>
      <c r="G11" s="192" t="s">
        <v>305</v>
      </c>
    </row>
    <row r="12" spans="1:7" ht="15" customHeight="1">
      <c r="A12" s="247" t="s">
        <v>306</v>
      </c>
      <c r="B12" s="420" t="s">
        <v>479</v>
      </c>
      <c r="C12" s="211"/>
      <c r="D12" s="460" t="s">
        <v>207</v>
      </c>
      <c r="E12" s="461"/>
      <c r="F12" s="462"/>
      <c r="G12" s="193">
        <v>38068238</v>
      </c>
    </row>
    <row r="13" spans="1:7" ht="33" customHeight="1">
      <c r="A13" s="213"/>
      <c r="B13" s="422" t="s">
        <v>308</v>
      </c>
      <c r="C13" s="196"/>
      <c r="D13" s="463" t="s">
        <v>205</v>
      </c>
      <c r="E13" s="463"/>
      <c r="F13" s="212"/>
      <c r="G13" s="192" t="s">
        <v>305</v>
      </c>
    </row>
    <row r="14" spans="1:7" ht="27.75" customHeight="1">
      <c r="A14" s="248" t="s">
        <v>307</v>
      </c>
      <c r="B14" s="249" t="s">
        <v>759</v>
      </c>
      <c r="C14" s="427">
        <v>6030</v>
      </c>
      <c r="D14" s="249" t="s">
        <v>758</v>
      </c>
      <c r="E14" s="523" t="s">
        <v>757</v>
      </c>
      <c r="F14" s="523"/>
      <c r="G14" s="249" t="s">
        <v>521</v>
      </c>
    </row>
    <row r="15" spans="1:7" ht="40.5" customHeight="1">
      <c r="A15" s="243"/>
      <c r="B15" s="250" t="s">
        <v>308</v>
      </c>
      <c r="C15" s="429" t="s">
        <v>309</v>
      </c>
      <c r="D15" s="429" t="s">
        <v>310</v>
      </c>
      <c r="E15" s="524" t="s">
        <v>311</v>
      </c>
      <c r="F15" s="524"/>
      <c r="G15" s="429" t="s">
        <v>312</v>
      </c>
    </row>
    <row r="16" spans="1:7" ht="20.25" customHeight="1">
      <c r="A16" s="426" t="s">
        <v>172</v>
      </c>
      <c r="B16" s="251" t="s">
        <v>522</v>
      </c>
      <c r="C16" s="251"/>
      <c r="D16" s="9"/>
      <c r="E16" s="252">
        <f>SUM(C17+F17)</f>
        <v>15963761</v>
      </c>
      <c r="F16" s="9" t="s">
        <v>523</v>
      </c>
      <c r="G16" s="9"/>
    </row>
    <row r="17" spans="1:7" ht="18.75" customHeight="1">
      <c r="A17" s="426"/>
      <c r="B17" s="9" t="s">
        <v>524</v>
      </c>
      <c r="C17" s="252">
        <f>SUM(C48)</f>
        <v>12934899</v>
      </c>
      <c r="D17" s="9" t="s">
        <v>525</v>
      </c>
      <c r="E17" s="253" t="s">
        <v>526</v>
      </c>
      <c r="F17" s="252">
        <f>SUM(D48)</f>
        <v>3028862</v>
      </c>
      <c r="G17" s="9" t="s">
        <v>527</v>
      </c>
    </row>
    <row r="18" spans="1:7" ht="15.75">
      <c r="A18" s="426" t="s">
        <v>9</v>
      </c>
      <c r="B18" s="518" t="s">
        <v>528</v>
      </c>
      <c r="C18" s="518"/>
      <c r="D18" s="518"/>
      <c r="E18" s="518"/>
      <c r="F18" s="518"/>
      <c r="G18" s="518"/>
    </row>
    <row r="19" spans="1:7" ht="15.75">
      <c r="A19" s="426"/>
      <c r="B19" s="436" t="s">
        <v>529</v>
      </c>
      <c r="C19" s="436"/>
      <c r="D19" s="436"/>
      <c r="E19" s="436"/>
      <c r="F19" s="436"/>
      <c r="G19" s="436"/>
    </row>
    <row r="20" spans="1:7" ht="15.75">
      <c r="A20" s="426"/>
      <c r="B20" s="436" t="s">
        <v>530</v>
      </c>
      <c r="C20" s="436"/>
      <c r="D20" s="436"/>
      <c r="E20" s="436"/>
      <c r="F20" s="436"/>
      <c r="G20" s="436"/>
    </row>
    <row r="21" spans="1:7" ht="15.75">
      <c r="A21" s="426"/>
      <c r="B21" s="436" t="s">
        <v>531</v>
      </c>
      <c r="C21" s="436"/>
      <c r="D21" s="436"/>
      <c r="E21" s="436"/>
      <c r="F21" s="436"/>
      <c r="G21" s="436"/>
    </row>
    <row r="22" spans="1:7" ht="33.75" customHeight="1">
      <c r="A22" s="426"/>
      <c r="B22" s="436" t="s">
        <v>532</v>
      </c>
      <c r="C22" s="436"/>
      <c r="D22" s="436"/>
      <c r="E22" s="436"/>
      <c r="F22" s="436"/>
      <c r="G22" s="436"/>
    </row>
    <row r="23" spans="1:7" ht="32.25" customHeight="1">
      <c r="A23" s="426"/>
      <c r="B23" s="450" t="s">
        <v>713</v>
      </c>
      <c r="C23" s="450"/>
      <c r="D23" s="450"/>
      <c r="E23" s="450"/>
      <c r="F23" s="450"/>
      <c r="G23" s="450"/>
    </row>
    <row r="24" spans="1:7" ht="30.75" customHeight="1">
      <c r="A24" s="426"/>
      <c r="B24" s="450" t="s">
        <v>734</v>
      </c>
      <c r="C24" s="450"/>
      <c r="D24" s="450"/>
      <c r="E24" s="450"/>
      <c r="F24" s="450"/>
      <c r="G24" s="450"/>
    </row>
    <row r="25" spans="1:7" ht="51" customHeight="1">
      <c r="A25" s="426"/>
      <c r="B25" s="450" t="s">
        <v>733</v>
      </c>
      <c r="C25" s="450"/>
      <c r="D25" s="450"/>
      <c r="E25" s="450"/>
      <c r="F25" s="450"/>
      <c r="G25" s="450"/>
    </row>
    <row r="26" spans="1:7" ht="15.75">
      <c r="A26" s="426" t="s">
        <v>10</v>
      </c>
      <c r="B26" s="518" t="s">
        <v>41</v>
      </c>
      <c r="C26" s="518"/>
      <c r="D26" s="518"/>
      <c r="E26" s="518"/>
      <c r="F26" s="518"/>
      <c r="G26" s="518"/>
    </row>
    <row r="27" spans="1:7" ht="15.75">
      <c r="A27" s="425" t="s">
        <v>13</v>
      </c>
      <c r="B27" s="525" t="s">
        <v>234</v>
      </c>
      <c r="C27" s="525"/>
      <c r="D27" s="525"/>
      <c r="E27" s="525"/>
      <c r="F27" s="525"/>
      <c r="G27" s="525"/>
    </row>
    <row r="28" spans="1:7" ht="45.75" customHeight="1">
      <c r="A28" s="6">
        <v>1</v>
      </c>
      <c r="B28" s="502" t="s">
        <v>756</v>
      </c>
      <c r="C28" s="502"/>
      <c r="D28" s="502"/>
      <c r="E28" s="502"/>
      <c r="F28" s="502"/>
      <c r="G28" s="502"/>
    </row>
    <row r="29" spans="1:7" ht="32.25" customHeight="1">
      <c r="A29" s="6">
        <v>2</v>
      </c>
      <c r="B29" s="502" t="s">
        <v>755</v>
      </c>
      <c r="C29" s="502"/>
      <c r="D29" s="502"/>
      <c r="E29" s="502"/>
      <c r="F29" s="502"/>
      <c r="G29" s="502"/>
    </row>
    <row r="30" spans="1:7" ht="18.75" customHeight="1">
      <c r="A30" s="6">
        <v>3</v>
      </c>
      <c r="B30" s="502" t="s">
        <v>754</v>
      </c>
      <c r="C30" s="502"/>
      <c r="D30" s="502"/>
      <c r="E30" s="502"/>
      <c r="F30" s="502"/>
      <c r="G30" s="502"/>
    </row>
    <row r="31" spans="1:7" ht="48.75" customHeight="1">
      <c r="A31" s="6">
        <v>4</v>
      </c>
      <c r="B31" s="502" t="s">
        <v>753</v>
      </c>
      <c r="C31" s="502"/>
      <c r="D31" s="502"/>
      <c r="E31" s="502"/>
      <c r="F31" s="502"/>
      <c r="G31" s="502"/>
    </row>
    <row r="32" spans="1:7" ht="15.75">
      <c r="A32" s="254"/>
      <c r="B32" s="255"/>
      <c r="C32" s="255"/>
      <c r="D32" s="255"/>
      <c r="E32" s="255"/>
      <c r="F32" s="255"/>
      <c r="G32" s="255"/>
    </row>
    <row r="33" spans="1:7" ht="15.75">
      <c r="A33" s="256" t="s">
        <v>11</v>
      </c>
      <c r="B33" s="255" t="s">
        <v>533</v>
      </c>
      <c r="C33" s="255"/>
      <c r="D33" s="255"/>
      <c r="E33" s="255"/>
      <c r="F33" s="255"/>
      <c r="G33" s="255"/>
    </row>
    <row r="34" spans="1:7" ht="17.25" customHeight="1">
      <c r="A34" s="256"/>
      <c r="B34" s="526" t="s">
        <v>752</v>
      </c>
      <c r="C34" s="526"/>
      <c r="D34" s="526"/>
      <c r="E34" s="526"/>
      <c r="F34" s="526"/>
      <c r="G34" s="526"/>
    </row>
    <row r="35" spans="1:7" ht="15.75">
      <c r="A35" s="426" t="s">
        <v>15</v>
      </c>
      <c r="B35" s="518" t="s">
        <v>535</v>
      </c>
      <c r="C35" s="518"/>
      <c r="D35" s="518"/>
      <c r="E35" s="518"/>
      <c r="F35" s="518"/>
      <c r="G35" s="518"/>
    </row>
    <row r="36" spans="1:7" ht="15.75">
      <c r="A36" s="425" t="s">
        <v>13</v>
      </c>
      <c r="B36" s="525" t="s">
        <v>14</v>
      </c>
      <c r="C36" s="525"/>
      <c r="D36" s="525"/>
      <c r="E36" s="525"/>
      <c r="F36" s="525"/>
      <c r="G36" s="525"/>
    </row>
    <row r="37" spans="1:7" ht="15.75">
      <c r="A37" s="6">
        <v>1</v>
      </c>
      <c r="B37" s="502" t="s">
        <v>751</v>
      </c>
      <c r="C37" s="502"/>
      <c r="D37" s="502"/>
      <c r="E37" s="502"/>
      <c r="F37" s="502"/>
      <c r="G37" s="502"/>
    </row>
    <row r="38" spans="1:7" ht="15.75">
      <c r="A38" s="6">
        <v>2</v>
      </c>
      <c r="B38" s="502" t="s">
        <v>750</v>
      </c>
      <c r="C38" s="502"/>
      <c r="D38" s="502"/>
      <c r="E38" s="502"/>
      <c r="F38" s="502"/>
      <c r="G38" s="502"/>
    </row>
    <row r="39" spans="1:7" ht="15.75" customHeight="1">
      <c r="A39" s="6">
        <v>3</v>
      </c>
      <c r="B39" s="502" t="s">
        <v>749</v>
      </c>
      <c r="C39" s="502"/>
      <c r="D39" s="502"/>
      <c r="E39" s="502"/>
      <c r="F39" s="502"/>
      <c r="G39" s="502"/>
    </row>
    <row r="40" spans="1:7" ht="15.75">
      <c r="A40" s="426"/>
      <c r="B40" s="424"/>
      <c r="C40" s="424"/>
      <c r="D40" s="424"/>
      <c r="E40" s="424"/>
      <c r="F40" s="424"/>
      <c r="G40" s="424"/>
    </row>
    <row r="41" spans="1:7" ht="15.75">
      <c r="A41" s="426" t="s">
        <v>22</v>
      </c>
      <c r="B41" s="257" t="s">
        <v>18</v>
      </c>
      <c r="C41" s="424"/>
      <c r="D41" s="424"/>
      <c r="E41" s="424"/>
      <c r="F41" s="424"/>
      <c r="G41" s="424"/>
    </row>
    <row r="42" spans="1:7" ht="15.75">
      <c r="A42" s="254"/>
      <c r="B42" s="255" t="s">
        <v>537</v>
      </c>
      <c r="C42" s="255"/>
      <c r="D42" s="255"/>
      <c r="E42" s="255"/>
      <c r="F42" s="255"/>
      <c r="G42" s="255"/>
    </row>
    <row r="43" spans="1:7" ht="47.25">
      <c r="A43" s="425" t="s">
        <v>13</v>
      </c>
      <c r="B43" s="425" t="s">
        <v>18</v>
      </c>
      <c r="C43" s="425" t="s">
        <v>19</v>
      </c>
      <c r="D43" s="425" t="s">
        <v>20</v>
      </c>
      <c r="E43" s="425" t="s">
        <v>21</v>
      </c>
      <c r="F43" s="255"/>
      <c r="G43" s="255"/>
    </row>
    <row r="44" spans="1:7" ht="15.75">
      <c r="A44" s="425">
        <v>1</v>
      </c>
      <c r="B44" s="425">
        <v>2</v>
      </c>
      <c r="C44" s="425">
        <v>3</v>
      </c>
      <c r="D44" s="425">
        <v>4</v>
      </c>
      <c r="E44" s="425">
        <v>5</v>
      </c>
      <c r="F44" s="255"/>
      <c r="G44" s="255"/>
    </row>
    <row r="45" spans="1:7" ht="32.25" customHeight="1">
      <c r="A45" s="425">
        <v>1</v>
      </c>
      <c r="B45" s="258" t="s">
        <v>748</v>
      </c>
      <c r="C45" s="259">
        <v>12263397</v>
      </c>
      <c r="D45" s="425"/>
      <c r="E45" s="259">
        <f>SUM(C45:D45)</f>
        <v>12263397</v>
      </c>
      <c r="F45" s="255"/>
      <c r="G45" s="255"/>
    </row>
    <row r="46" spans="1:7" ht="31.5">
      <c r="A46" s="425">
        <v>2</v>
      </c>
      <c r="B46" s="258" t="s">
        <v>747</v>
      </c>
      <c r="C46" s="259">
        <v>671502</v>
      </c>
      <c r="D46" s="425"/>
      <c r="E46" s="259">
        <f>SUM(C46:D46)</f>
        <v>671502</v>
      </c>
      <c r="F46" s="255"/>
      <c r="G46" s="255"/>
    </row>
    <row r="47" spans="1:7" ht="30.75" customHeight="1">
      <c r="A47" s="425">
        <v>3</v>
      </c>
      <c r="B47" s="258" t="s">
        <v>746</v>
      </c>
      <c r="C47" s="259"/>
      <c r="D47" s="259">
        <v>3028862</v>
      </c>
      <c r="E47" s="259">
        <f>SUM(C47:D47)</f>
        <v>3028862</v>
      </c>
      <c r="F47" s="255"/>
      <c r="G47" s="255"/>
    </row>
    <row r="48" spans="1:7" ht="15.75">
      <c r="A48" s="525" t="s">
        <v>21</v>
      </c>
      <c r="B48" s="525"/>
      <c r="C48" s="259">
        <f>SUM(C45:C47)</f>
        <v>12934899</v>
      </c>
      <c r="D48" s="259">
        <f>SUM(D45:D47)</f>
        <v>3028862</v>
      </c>
      <c r="E48" s="259">
        <f>SUM(E45:E47)</f>
        <v>15963761</v>
      </c>
      <c r="F48" s="255"/>
      <c r="G48" s="255"/>
    </row>
    <row r="49" spans="1:7" ht="15.75">
      <c r="A49" s="254"/>
      <c r="B49" s="255"/>
      <c r="C49" s="255"/>
      <c r="D49" s="255"/>
      <c r="E49" s="255"/>
      <c r="F49" s="255"/>
      <c r="G49" s="255"/>
    </row>
    <row r="50" spans="1:7" ht="15.75">
      <c r="A50" s="530" t="s">
        <v>194</v>
      </c>
      <c r="B50" s="518" t="s">
        <v>23</v>
      </c>
      <c r="C50" s="518"/>
      <c r="D50" s="518"/>
      <c r="E50" s="518"/>
      <c r="F50" s="518"/>
      <c r="G50" s="518"/>
    </row>
    <row r="51" spans="1:7" ht="15.75">
      <c r="A51" s="530"/>
      <c r="B51" s="260" t="s">
        <v>17</v>
      </c>
      <c r="C51" s="255"/>
      <c r="D51" s="255"/>
      <c r="E51" s="255"/>
      <c r="F51" s="255"/>
      <c r="G51" s="255"/>
    </row>
    <row r="52" spans="1:7" ht="63">
      <c r="A52" s="425" t="s">
        <v>13</v>
      </c>
      <c r="B52" s="425" t="s">
        <v>193</v>
      </c>
      <c r="C52" s="425" t="s">
        <v>19</v>
      </c>
      <c r="D52" s="425" t="s">
        <v>20</v>
      </c>
      <c r="E52" s="425" t="s">
        <v>21</v>
      </c>
      <c r="F52" s="255"/>
      <c r="G52" s="255"/>
    </row>
    <row r="53" spans="1:7" ht="15.75">
      <c r="A53" s="425">
        <v>1</v>
      </c>
      <c r="B53" s="425">
        <v>2</v>
      </c>
      <c r="C53" s="425">
        <v>3</v>
      </c>
      <c r="D53" s="425">
        <v>4</v>
      </c>
      <c r="E53" s="425">
        <v>5</v>
      </c>
      <c r="F53" s="255"/>
      <c r="G53" s="255"/>
    </row>
    <row r="54" spans="1:7" ht="124.5" customHeight="1">
      <c r="A54" s="425">
        <v>1</v>
      </c>
      <c r="B54" s="415" t="s">
        <v>574</v>
      </c>
      <c r="C54" s="259">
        <f>SUM(C48)</f>
        <v>12934899</v>
      </c>
      <c r="D54" s="259">
        <f>SUM(D48)</f>
        <v>3028862</v>
      </c>
      <c r="E54" s="259">
        <f>SUM(C54:D54)</f>
        <v>15963761</v>
      </c>
      <c r="F54" s="255"/>
      <c r="G54" s="255"/>
    </row>
    <row r="55" spans="1:7" ht="15.75">
      <c r="A55" s="525" t="s">
        <v>21</v>
      </c>
      <c r="B55" s="525"/>
      <c r="C55" s="259">
        <f>SUM(C54)</f>
        <v>12934899</v>
      </c>
      <c r="D55" s="259">
        <f>SUM(D54)</f>
        <v>3028862</v>
      </c>
      <c r="E55" s="259">
        <f>SUM(E54)</f>
        <v>15963761</v>
      </c>
      <c r="F55" s="255"/>
      <c r="G55" s="255"/>
    </row>
    <row r="56" spans="1:7" ht="15.75">
      <c r="A56" s="254"/>
      <c r="B56" s="255"/>
      <c r="C56" s="255"/>
      <c r="D56" s="255"/>
      <c r="E56" s="255"/>
      <c r="F56" s="255"/>
      <c r="G56" s="255"/>
    </row>
    <row r="57" spans="1:7" ht="15.75">
      <c r="A57" s="426" t="s">
        <v>47</v>
      </c>
      <c r="B57" s="518" t="s">
        <v>195</v>
      </c>
      <c r="C57" s="518"/>
      <c r="D57" s="518"/>
      <c r="E57" s="518"/>
      <c r="F57" s="518"/>
      <c r="G57" s="518"/>
    </row>
    <row r="58" spans="1:7" ht="26.25" customHeight="1">
      <c r="A58" s="425" t="s">
        <v>13</v>
      </c>
      <c r="B58" s="425" t="s">
        <v>196</v>
      </c>
      <c r="C58" s="425" t="s">
        <v>197</v>
      </c>
      <c r="D58" s="425" t="s">
        <v>198</v>
      </c>
      <c r="E58" s="425" t="s">
        <v>19</v>
      </c>
      <c r="F58" s="425" t="s">
        <v>20</v>
      </c>
      <c r="G58" s="425" t="s">
        <v>21</v>
      </c>
    </row>
    <row r="59" spans="1:7" ht="15.75">
      <c r="A59" s="425">
        <v>1</v>
      </c>
      <c r="B59" s="425">
        <v>2</v>
      </c>
      <c r="C59" s="425">
        <v>3</v>
      </c>
      <c r="D59" s="425">
        <v>4</v>
      </c>
      <c r="E59" s="425">
        <v>5</v>
      </c>
      <c r="F59" s="425">
        <v>6</v>
      </c>
      <c r="G59" s="425">
        <v>7</v>
      </c>
    </row>
    <row r="60" spans="1:7" ht="15.75" customHeight="1">
      <c r="A60" s="425"/>
      <c r="B60" s="562" t="s">
        <v>745</v>
      </c>
      <c r="C60" s="562"/>
      <c r="D60" s="562"/>
      <c r="E60" s="562"/>
      <c r="F60" s="562"/>
      <c r="G60" s="562"/>
    </row>
    <row r="61" spans="1:7" ht="15.75">
      <c r="A61" s="6">
        <v>1</v>
      </c>
      <c r="B61" s="7" t="s">
        <v>199</v>
      </c>
      <c r="C61" s="6"/>
      <c r="D61" s="6"/>
      <c r="E61" s="425"/>
      <c r="F61" s="425"/>
      <c r="G61" s="425"/>
    </row>
    <row r="62" spans="1:7" ht="15.75">
      <c r="A62" s="6"/>
      <c r="B62" s="7" t="s">
        <v>57</v>
      </c>
      <c r="C62" s="6" t="s">
        <v>537</v>
      </c>
      <c r="D62" s="6" t="s">
        <v>61</v>
      </c>
      <c r="E62" s="259">
        <f>SUM(C45)</f>
        <v>12263397</v>
      </c>
      <c r="F62" s="259">
        <f>SUM(D45)</f>
        <v>0</v>
      </c>
      <c r="G62" s="259">
        <f>SUM(E62:F62)</f>
        <v>12263397</v>
      </c>
    </row>
    <row r="63" spans="1:7" ht="15.75">
      <c r="A63" s="6">
        <v>2</v>
      </c>
      <c r="B63" s="7" t="s">
        <v>200</v>
      </c>
      <c r="C63" s="6"/>
      <c r="D63" s="6"/>
      <c r="E63" s="425"/>
      <c r="F63" s="425"/>
      <c r="G63" s="425"/>
    </row>
    <row r="64" spans="1:7" ht="60">
      <c r="A64" s="7"/>
      <c r="B64" s="31" t="s">
        <v>744</v>
      </c>
      <c r="C64" s="6" t="s">
        <v>251</v>
      </c>
      <c r="D64" s="6" t="s">
        <v>70</v>
      </c>
      <c r="E64" s="425">
        <v>19</v>
      </c>
      <c r="F64" s="425"/>
      <c r="G64" s="425">
        <f>SUM(E64:F64)</f>
        <v>19</v>
      </c>
    </row>
    <row r="65" spans="1:7" ht="15.75">
      <c r="A65" s="6">
        <v>3</v>
      </c>
      <c r="B65" s="31" t="s">
        <v>201</v>
      </c>
      <c r="C65" s="6"/>
      <c r="D65" s="6"/>
      <c r="E65" s="425"/>
      <c r="F65" s="425"/>
      <c r="G65" s="425"/>
    </row>
    <row r="66" spans="1:7" ht="120">
      <c r="A66" s="6"/>
      <c r="B66" s="31" t="s">
        <v>743</v>
      </c>
      <c r="C66" s="6" t="s">
        <v>537</v>
      </c>
      <c r="D66" s="6" t="s">
        <v>70</v>
      </c>
      <c r="E66" s="259">
        <f>SUM(E62/12)</f>
        <v>1021949.75</v>
      </c>
      <c r="F66" s="259"/>
      <c r="G66" s="259">
        <f>SUM(E66:F66)</f>
        <v>1021949.75</v>
      </c>
    </row>
    <row r="67" spans="1:7" ht="15.75">
      <c r="A67" s="6">
        <v>4</v>
      </c>
      <c r="B67" s="7" t="s">
        <v>202</v>
      </c>
      <c r="C67" s="6"/>
      <c r="D67" s="6"/>
      <c r="E67" s="425"/>
      <c r="F67" s="425"/>
      <c r="G67" s="425"/>
    </row>
    <row r="68" spans="1:7" ht="63">
      <c r="A68" s="6"/>
      <c r="B68" s="7" t="s">
        <v>542</v>
      </c>
      <c r="C68" s="6" t="s">
        <v>71</v>
      </c>
      <c r="D68" s="6" t="s">
        <v>70</v>
      </c>
      <c r="E68" s="425">
        <v>100</v>
      </c>
      <c r="F68" s="425"/>
      <c r="G68" s="425">
        <f>SUM(E68:F68)</f>
        <v>100</v>
      </c>
    </row>
    <row r="69" spans="1:7" ht="15.75" customHeight="1">
      <c r="A69" s="425"/>
      <c r="B69" s="562" t="s">
        <v>742</v>
      </c>
      <c r="C69" s="562"/>
      <c r="D69" s="562"/>
      <c r="E69" s="562"/>
      <c r="F69" s="562"/>
      <c r="G69" s="562"/>
    </row>
    <row r="70" spans="1:7" ht="15.75">
      <c r="A70" s="6">
        <v>1</v>
      </c>
      <c r="B70" s="7" t="s">
        <v>199</v>
      </c>
      <c r="C70" s="6"/>
      <c r="D70" s="6"/>
      <c r="E70" s="425"/>
      <c r="F70" s="425"/>
      <c r="G70" s="425"/>
    </row>
    <row r="71" spans="1:7" ht="15.75">
      <c r="A71" s="6"/>
      <c r="B71" s="7" t="s">
        <v>57</v>
      </c>
      <c r="C71" s="6" t="s">
        <v>537</v>
      </c>
      <c r="D71" s="6" t="s">
        <v>61</v>
      </c>
      <c r="E71" s="259">
        <f>SUM(C46)</f>
        <v>671502</v>
      </c>
      <c r="F71" s="259">
        <f>SUM(D46)</f>
        <v>0</v>
      </c>
      <c r="G71" s="259">
        <f>SUM(E71:F71)</f>
        <v>671502</v>
      </c>
    </row>
    <row r="72" spans="1:7" ht="15.75">
      <c r="A72" s="6">
        <v>2</v>
      </c>
      <c r="B72" s="7" t="s">
        <v>200</v>
      </c>
      <c r="C72" s="6"/>
      <c r="D72" s="6"/>
      <c r="E72" s="425"/>
      <c r="F72" s="425"/>
      <c r="G72" s="425"/>
    </row>
    <row r="73" spans="1:7" ht="75">
      <c r="A73" s="7"/>
      <c r="B73" s="31" t="s">
        <v>741</v>
      </c>
      <c r="C73" s="6" t="s">
        <v>251</v>
      </c>
      <c r="D73" s="6" t="s">
        <v>70</v>
      </c>
      <c r="E73" s="425">
        <v>10</v>
      </c>
      <c r="F73" s="425"/>
      <c r="G73" s="425">
        <f>SUM(E73:F73)</f>
        <v>10</v>
      </c>
    </row>
    <row r="74" spans="1:7" ht="15.75">
      <c r="A74" s="6">
        <v>3</v>
      </c>
      <c r="B74" s="31" t="s">
        <v>201</v>
      </c>
      <c r="C74" s="6"/>
      <c r="D74" s="6"/>
      <c r="E74" s="425"/>
      <c r="F74" s="425"/>
      <c r="G74" s="425"/>
    </row>
    <row r="75" spans="1:7" ht="73.5" customHeight="1">
      <c r="A75" s="6"/>
      <c r="B75" s="31" t="s">
        <v>740</v>
      </c>
      <c r="C75" s="6" t="s">
        <v>537</v>
      </c>
      <c r="D75" s="6" t="s">
        <v>70</v>
      </c>
      <c r="E75" s="259">
        <f>SUM(E71/12)</f>
        <v>55958.5</v>
      </c>
      <c r="F75" s="259"/>
      <c r="G75" s="259">
        <f>SUM(E75:F75)</f>
        <v>55958.5</v>
      </c>
    </row>
    <row r="76" spans="1:7" ht="15.75">
      <c r="A76" s="6">
        <v>4</v>
      </c>
      <c r="B76" s="7" t="s">
        <v>202</v>
      </c>
      <c r="C76" s="6"/>
      <c r="D76" s="6"/>
      <c r="E76" s="425"/>
      <c r="F76" s="425"/>
      <c r="G76" s="425"/>
    </row>
    <row r="77" spans="1:7" ht="63">
      <c r="A77" s="6"/>
      <c r="B77" s="7" t="s">
        <v>542</v>
      </c>
      <c r="C77" s="6" t="s">
        <v>71</v>
      </c>
      <c r="D77" s="6" t="s">
        <v>70</v>
      </c>
      <c r="E77" s="425">
        <v>100</v>
      </c>
      <c r="F77" s="425"/>
      <c r="G77" s="425">
        <f>SUM(E77:F77)</f>
        <v>100</v>
      </c>
    </row>
    <row r="78" spans="1:7" ht="15.75" customHeight="1">
      <c r="A78" s="425"/>
      <c r="B78" s="562" t="s">
        <v>739</v>
      </c>
      <c r="C78" s="562"/>
      <c r="D78" s="562"/>
      <c r="E78" s="562"/>
      <c r="F78" s="562"/>
      <c r="G78" s="562"/>
    </row>
    <row r="79" spans="1:7" ht="15.75">
      <c r="A79" s="6">
        <v>1</v>
      </c>
      <c r="B79" s="7" t="s">
        <v>199</v>
      </c>
      <c r="C79" s="6"/>
      <c r="D79" s="6"/>
      <c r="E79" s="425"/>
      <c r="F79" s="425"/>
      <c r="G79" s="425"/>
    </row>
    <row r="80" spans="1:7" ht="15.75">
      <c r="A80" s="6"/>
      <c r="B80" s="7" t="s">
        <v>57</v>
      </c>
      <c r="C80" s="6" t="s">
        <v>537</v>
      </c>
      <c r="D80" s="6" t="s">
        <v>61</v>
      </c>
      <c r="E80" s="259">
        <f>SUM(C47)</f>
        <v>0</v>
      </c>
      <c r="F80" s="259">
        <f>SUM(D47)</f>
        <v>3028862</v>
      </c>
      <c r="G80" s="259">
        <f>SUM(E80:F80)</f>
        <v>3028862</v>
      </c>
    </row>
    <row r="81" spans="1:7" ht="15.75">
      <c r="A81" s="6">
        <v>2</v>
      </c>
      <c r="B81" s="7" t="s">
        <v>200</v>
      </c>
      <c r="C81" s="6"/>
      <c r="D81" s="6"/>
      <c r="E81" s="425"/>
      <c r="F81" s="425"/>
      <c r="G81" s="425"/>
    </row>
    <row r="82" spans="1:7" ht="73.5" customHeight="1">
      <c r="A82" s="7"/>
      <c r="B82" s="31" t="s">
        <v>738</v>
      </c>
      <c r="C82" s="6" t="s">
        <v>251</v>
      </c>
      <c r="D82" s="6" t="s">
        <v>70</v>
      </c>
      <c r="E82" s="425"/>
      <c r="F82" s="425">
        <v>4</v>
      </c>
      <c r="G82" s="425">
        <f>SUM(E82:F82)</f>
        <v>4</v>
      </c>
    </row>
    <row r="83" spans="1:7" ht="15.75">
      <c r="A83" s="6">
        <v>3</v>
      </c>
      <c r="B83" s="31" t="s">
        <v>201</v>
      </c>
      <c r="C83" s="6"/>
      <c r="D83" s="6"/>
      <c r="E83" s="425"/>
      <c r="F83" s="425"/>
      <c r="G83" s="425"/>
    </row>
    <row r="84" spans="1:7" ht="73.5" customHeight="1">
      <c r="A84" s="6"/>
      <c r="B84" s="31" t="s">
        <v>737</v>
      </c>
      <c r="C84" s="6" t="s">
        <v>537</v>
      </c>
      <c r="D84" s="6" t="s">
        <v>70</v>
      </c>
      <c r="E84" s="259"/>
      <c r="F84" s="259">
        <f>SUM(F80/12)</f>
        <v>252405.16666666666</v>
      </c>
      <c r="G84" s="259">
        <f>SUM(E84:F84)</f>
        <v>252405.16666666666</v>
      </c>
    </row>
    <row r="85" spans="1:7" ht="15.75">
      <c r="A85" s="6">
        <v>4</v>
      </c>
      <c r="B85" s="7" t="s">
        <v>202</v>
      </c>
      <c r="C85" s="6"/>
      <c r="D85" s="6"/>
      <c r="E85" s="425"/>
      <c r="F85" s="425"/>
      <c r="G85" s="425"/>
    </row>
    <row r="86" spans="1:7" ht="63">
      <c r="A86" s="6"/>
      <c r="B86" s="7" t="s">
        <v>542</v>
      </c>
      <c r="C86" s="6" t="s">
        <v>71</v>
      </c>
      <c r="D86" s="6" t="s">
        <v>70</v>
      </c>
      <c r="E86" s="425"/>
      <c r="F86" s="425">
        <v>100</v>
      </c>
      <c r="G86" s="425">
        <f>SUM(E86:F86)</f>
        <v>100</v>
      </c>
    </row>
    <row r="87" spans="1:7" ht="15.75">
      <c r="A87" s="560" t="s">
        <v>73</v>
      </c>
      <c r="B87" s="560"/>
      <c r="C87" s="560"/>
      <c r="D87" s="559"/>
      <c r="E87" s="558"/>
      <c r="F87" s="557" t="s">
        <v>74</v>
      </c>
      <c r="G87" s="557"/>
    </row>
    <row r="88" spans="1:7" ht="15.75">
      <c r="A88" s="561"/>
      <c r="B88" s="426"/>
      <c r="D88" s="555" t="s">
        <v>203</v>
      </c>
      <c r="F88" s="556" t="s">
        <v>720</v>
      </c>
      <c r="G88" s="556"/>
    </row>
    <row r="89" spans="1:4" ht="15.75">
      <c r="A89" s="518" t="s">
        <v>204</v>
      </c>
      <c r="B89" s="518"/>
      <c r="C89" s="426"/>
      <c r="D89" s="426"/>
    </row>
    <row r="90" spans="1:4" ht="15.75">
      <c r="A90" s="257" t="s">
        <v>722</v>
      </c>
      <c r="B90" s="424"/>
      <c r="C90" s="426"/>
      <c r="D90" s="426"/>
    </row>
    <row r="91" spans="1:7" ht="15.75">
      <c r="A91" s="560" t="s">
        <v>721</v>
      </c>
      <c r="B91" s="560"/>
      <c r="C91" s="560"/>
      <c r="D91" s="559"/>
      <c r="E91" s="558"/>
      <c r="F91" s="557" t="s">
        <v>76</v>
      </c>
      <c r="G91" s="557"/>
    </row>
    <row r="92" spans="1:7" ht="15.75">
      <c r="A92" s="260"/>
      <c r="B92" s="426"/>
      <c r="C92" s="426"/>
      <c r="D92" s="555" t="s">
        <v>203</v>
      </c>
      <c r="F92" s="556" t="s">
        <v>720</v>
      </c>
      <c r="G92" s="556"/>
    </row>
    <row r="93" spans="1:2" ht="15">
      <c r="A93" s="553" t="s">
        <v>162</v>
      </c>
      <c r="B93" s="553"/>
    </row>
    <row r="94" ht="15">
      <c r="A94" s="552" t="s">
        <v>719</v>
      </c>
    </row>
  </sheetData>
  <sheetProtection/>
  <mergeCells count="49">
    <mergeCell ref="F88:G88"/>
    <mergeCell ref="A89:B89"/>
    <mergeCell ref="A91:C91"/>
    <mergeCell ref="F91:G91"/>
    <mergeCell ref="F92:G92"/>
    <mergeCell ref="A93:B93"/>
    <mergeCell ref="A55:B55"/>
    <mergeCell ref="B57:G57"/>
    <mergeCell ref="B60:G60"/>
    <mergeCell ref="B69:G69"/>
    <mergeCell ref="B78:G78"/>
    <mergeCell ref="A87:C87"/>
    <mergeCell ref="F87:G87"/>
    <mergeCell ref="B37:G37"/>
    <mergeCell ref="B38:G38"/>
    <mergeCell ref="B39:G39"/>
    <mergeCell ref="A48:B48"/>
    <mergeCell ref="A50:A51"/>
    <mergeCell ref="B50:G50"/>
    <mergeCell ref="B29:G29"/>
    <mergeCell ref="B30:G30"/>
    <mergeCell ref="B31:G31"/>
    <mergeCell ref="B34:G34"/>
    <mergeCell ref="B35:G35"/>
    <mergeCell ref="B36:G36"/>
    <mergeCell ref="B23:G23"/>
    <mergeCell ref="B24:G24"/>
    <mergeCell ref="B25:G25"/>
    <mergeCell ref="B26:G26"/>
    <mergeCell ref="B27:G27"/>
    <mergeCell ref="B28:G28"/>
    <mergeCell ref="E15:F15"/>
    <mergeCell ref="B18:G18"/>
    <mergeCell ref="B19:G19"/>
    <mergeCell ref="B20:G20"/>
    <mergeCell ref="B21:G21"/>
    <mergeCell ref="B22:G22"/>
    <mergeCell ref="A9:G9"/>
    <mergeCell ref="D10:F10"/>
    <mergeCell ref="D11:E11"/>
    <mergeCell ref="D12:F12"/>
    <mergeCell ref="D13:E13"/>
    <mergeCell ref="E14:F14"/>
    <mergeCell ref="E1:G2"/>
    <mergeCell ref="E4:G4"/>
    <mergeCell ref="E5:G5"/>
    <mergeCell ref="E6:G6"/>
    <mergeCell ref="E7:G7"/>
    <mergeCell ref="A8:G8"/>
  </mergeCells>
  <printOptions/>
  <pageMargins left="0.1968503937007874" right="0.1968503937007874" top="1.1811023622047245" bottom="0.1968503937007874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G79"/>
  <sheetViews>
    <sheetView zoomScalePageLayoutView="0" workbookViewId="0" topLeftCell="A56">
      <selection activeCell="B36" sqref="B36:G36"/>
    </sheetView>
  </sheetViews>
  <sheetFormatPr defaultColWidth="21.57421875" defaultRowHeight="15"/>
  <cols>
    <col min="1" max="1" width="6.57421875" style="244" customWidth="1"/>
    <col min="2" max="4" width="21.57421875" style="244" customWidth="1"/>
    <col min="5" max="5" width="22.421875" style="244" customWidth="1"/>
    <col min="6" max="7" width="21.57421875" style="244" customWidth="1"/>
    <col min="8" max="28" width="10.28125" style="244" customWidth="1"/>
    <col min="29" max="16384" width="21.57421875" style="244" customWidth="1"/>
  </cols>
  <sheetData>
    <row r="1" spans="1:7" ht="15" customHeight="1">
      <c r="A1" s="243"/>
      <c r="B1" s="243"/>
      <c r="C1" s="243"/>
      <c r="D1" s="243"/>
      <c r="E1" s="517" t="s">
        <v>518</v>
      </c>
      <c r="F1" s="517"/>
      <c r="G1" s="517"/>
    </row>
    <row r="2" spans="1:7" ht="21" customHeight="1">
      <c r="A2" s="243"/>
      <c r="B2" s="243"/>
      <c r="C2" s="243"/>
      <c r="D2" s="243"/>
      <c r="E2" s="517"/>
      <c r="F2" s="517"/>
      <c r="G2" s="517"/>
    </row>
    <row r="3" spans="1:7" ht="17.25" customHeight="1">
      <c r="A3" s="243"/>
      <c r="B3" s="243"/>
      <c r="C3" s="243"/>
      <c r="D3" s="243"/>
      <c r="E3" s="243"/>
      <c r="F3" s="564"/>
      <c r="G3" s="564"/>
    </row>
    <row r="4" spans="1:7" ht="15.75">
      <c r="A4" s="426"/>
      <c r="B4" s="243"/>
      <c r="C4" s="243"/>
      <c r="D4" s="243"/>
      <c r="E4" s="424" t="s">
        <v>166</v>
      </c>
      <c r="F4" s="245"/>
      <c r="G4" s="245"/>
    </row>
    <row r="5" spans="1:7" ht="15.75">
      <c r="A5" s="426"/>
      <c r="B5" s="243"/>
      <c r="C5" s="243"/>
      <c r="D5" s="243"/>
      <c r="E5" s="518" t="s">
        <v>216</v>
      </c>
      <c r="F5" s="518"/>
      <c r="G5" s="518"/>
    </row>
    <row r="6" spans="1:7" ht="15.75">
      <c r="A6" s="426"/>
      <c r="B6" s="426"/>
      <c r="C6" s="243"/>
      <c r="D6" s="243"/>
      <c r="E6" s="519" t="s">
        <v>207</v>
      </c>
      <c r="F6" s="519"/>
      <c r="G6" s="519"/>
    </row>
    <row r="7" spans="1:7" ht="15" customHeight="1">
      <c r="A7" s="426"/>
      <c r="B7" s="243"/>
      <c r="C7" s="243"/>
      <c r="D7" s="243"/>
      <c r="E7" s="520" t="s">
        <v>167</v>
      </c>
      <c r="F7" s="520"/>
      <c r="G7" s="520"/>
    </row>
    <row r="8" spans="1:7" ht="15" customHeight="1">
      <c r="A8" s="426"/>
      <c r="B8" s="243"/>
      <c r="C8" s="243"/>
      <c r="D8" s="243"/>
      <c r="E8" s="521" t="s">
        <v>519</v>
      </c>
      <c r="F8" s="521"/>
      <c r="G8" s="521"/>
    </row>
    <row r="9" spans="1:7" ht="15" customHeight="1">
      <c r="A9" s="426"/>
      <c r="B9" s="243"/>
      <c r="C9" s="243"/>
      <c r="D9" s="243"/>
      <c r="E9" s="428"/>
      <c r="F9" s="428"/>
      <c r="G9" s="428"/>
    </row>
    <row r="10" spans="1:7" ht="15.75">
      <c r="A10" s="522" t="s">
        <v>168</v>
      </c>
      <c r="B10" s="522"/>
      <c r="C10" s="522"/>
      <c r="D10" s="522"/>
      <c r="E10" s="522"/>
      <c r="F10" s="522"/>
      <c r="G10" s="522"/>
    </row>
    <row r="11" spans="1:7" ht="15.75">
      <c r="A11" s="522" t="s">
        <v>315</v>
      </c>
      <c r="B11" s="522"/>
      <c r="C11" s="522"/>
      <c r="D11" s="522"/>
      <c r="E11" s="522"/>
      <c r="F11" s="522"/>
      <c r="G11" s="522"/>
    </row>
    <row r="12" spans="1:7" ht="6.75" customHeight="1">
      <c r="A12" s="156"/>
      <c r="B12" s="156"/>
      <c r="C12" s="156"/>
      <c r="D12" s="156"/>
      <c r="E12" s="156"/>
      <c r="F12" s="156"/>
      <c r="G12" s="156"/>
    </row>
    <row r="13" spans="1:7" ht="11.25" customHeight="1">
      <c r="A13" s="246" t="s">
        <v>304</v>
      </c>
      <c r="B13" s="420" t="s">
        <v>478</v>
      </c>
      <c r="C13" s="210"/>
      <c r="D13" s="456" t="s">
        <v>207</v>
      </c>
      <c r="E13" s="456"/>
      <c r="F13" s="456"/>
      <c r="G13" s="190">
        <v>38068238</v>
      </c>
    </row>
    <row r="14" spans="1:7" ht="22.5" customHeight="1">
      <c r="A14" s="66"/>
      <c r="B14" s="422" t="s">
        <v>308</v>
      </c>
      <c r="C14" s="196"/>
      <c r="D14" s="459" t="s">
        <v>167</v>
      </c>
      <c r="E14" s="459"/>
      <c r="F14" s="212"/>
      <c r="G14" s="192" t="s">
        <v>305</v>
      </c>
    </row>
    <row r="15" spans="1:7" ht="15" customHeight="1">
      <c r="A15" s="247" t="s">
        <v>306</v>
      </c>
      <c r="B15" s="420" t="s">
        <v>479</v>
      </c>
      <c r="C15" s="211"/>
      <c r="D15" s="460" t="s">
        <v>207</v>
      </c>
      <c r="E15" s="460"/>
      <c r="F15" s="460"/>
      <c r="G15" s="193">
        <v>38068238</v>
      </c>
    </row>
    <row r="16" spans="1:7" ht="33" customHeight="1">
      <c r="A16" s="213"/>
      <c r="B16" s="422" t="s">
        <v>308</v>
      </c>
      <c r="C16" s="196"/>
      <c r="D16" s="463" t="s">
        <v>205</v>
      </c>
      <c r="E16" s="463"/>
      <c r="F16" s="212"/>
      <c r="G16" s="192" t="s">
        <v>305</v>
      </c>
    </row>
    <row r="17" spans="1:7" ht="26.25" customHeight="1">
      <c r="A17" s="248" t="s">
        <v>307</v>
      </c>
      <c r="B17" s="249" t="s">
        <v>775</v>
      </c>
      <c r="C17" s="427">
        <v>6013</v>
      </c>
      <c r="D17" s="249" t="s">
        <v>758</v>
      </c>
      <c r="E17" s="523" t="s">
        <v>774</v>
      </c>
      <c r="F17" s="523"/>
      <c r="G17" s="249" t="s">
        <v>477</v>
      </c>
    </row>
    <row r="18" spans="1:7" ht="46.5" customHeight="1">
      <c r="A18" s="243"/>
      <c r="B18" s="250" t="s">
        <v>308</v>
      </c>
      <c r="C18" s="429" t="s">
        <v>309</v>
      </c>
      <c r="D18" s="429" t="s">
        <v>310</v>
      </c>
      <c r="E18" s="524" t="s">
        <v>311</v>
      </c>
      <c r="F18" s="524"/>
      <c r="G18" s="429" t="s">
        <v>312</v>
      </c>
    </row>
    <row r="19" spans="1:7" ht="20.25" customHeight="1">
      <c r="A19" s="426" t="s">
        <v>172</v>
      </c>
      <c r="B19" s="251" t="s">
        <v>522</v>
      </c>
      <c r="C19" s="251"/>
      <c r="D19" s="9"/>
      <c r="E19" s="252">
        <f>SUM(C20+F20)</f>
        <v>547739</v>
      </c>
      <c r="F19" s="9" t="s">
        <v>523</v>
      </c>
      <c r="G19" s="9"/>
    </row>
    <row r="20" spans="1:7" ht="18.75" customHeight="1">
      <c r="A20" s="426"/>
      <c r="B20" s="9" t="s">
        <v>524</v>
      </c>
      <c r="C20" s="252">
        <f>SUM(C48)</f>
        <v>510739</v>
      </c>
      <c r="D20" s="9" t="s">
        <v>525</v>
      </c>
      <c r="E20" s="253" t="s">
        <v>526</v>
      </c>
      <c r="F20" s="252">
        <f>SUM(D48)</f>
        <v>37000</v>
      </c>
      <c r="G20" s="9" t="s">
        <v>527</v>
      </c>
    </row>
    <row r="21" spans="1:7" ht="15.75">
      <c r="A21" s="426" t="s">
        <v>9</v>
      </c>
      <c r="B21" s="518" t="s">
        <v>528</v>
      </c>
      <c r="C21" s="518"/>
      <c r="D21" s="518"/>
      <c r="E21" s="518"/>
      <c r="F21" s="518"/>
      <c r="G21" s="518"/>
    </row>
    <row r="22" spans="1:7" ht="15.75">
      <c r="A22" s="426"/>
      <c r="B22" s="436" t="s">
        <v>529</v>
      </c>
      <c r="C22" s="436"/>
      <c r="D22" s="436"/>
      <c r="E22" s="436"/>
      <c r="F22" s="436"/>
      <c r="G22" s="436"/>
    </row>
    <row r="23" spans="1:7" ht="15.75">
      <c r="A23" s="426"/>
      <c r="B23" s="436" t="s">
        <v>530</v>
      </c>
      <c r="C23" s="436"/>
      <c r="D23" s="436"/>
      <c r="E23" s="436"/>
      <c r="F23" s="436"/>
      <c r="G23" s="436"/>
    </row>
    <row r="24" spans="1:7" ht="15.75">
      <c r="A24" s="426"/>
      <c r="B24" s="436" t="s">
        <v>531</v>
      </c>
      <c r="C24" s="436"/>
      <c r="D24" s="436"/>
      <c r="E24" s="436"/>
      <c r="F24" s="436"/>
      <c r="G24" s="436"/>
    </row>
    <row r="25" spans="1:7" ht="33.75" customHeight="1">
      <c r="A25" s="426"/>
      <c r="B25" s="436" t="s">
        <v>532</v>
      </c>
      <c r="C25" s="436"/>
      <c r="D25" s="436"/>
      <c r="E25" s="436"/>
      <c r="F25" s="436"/>
      <c r="G25" s="436"/>
    </row>
    <row r="26" spans="1:7" ht="37.5" customHeight="1">
      <c r="A26" s="426"/>
      <c r="B26" s="450" t="s">
        <v>713</v>
      </c>
      <c r="C26" s="450"/>
      <c r="D26" s="450"/>
      <c r="E26" s="450"/>
      <c r="F26" s="450"/>
      <c r="G26" s="450"/>
    </row>
    <row r="27" spans="1:7" ht="30.75" customHeight="1">
      <c r="A27" s="426"/>
      <c r="B27" s="450" t="s">
        <v>773</v>
      </c>
      <c r="C27" s="450"/>
      <c r="D27" s="450"/>
      <c r="E27" s="450"/>
      <c r="F27" s="450"/>
      <c r="G27" s="450"/>
    </row>
    <row r="28" spans="1:7" ht="48" customHeight="1">
      <c r="A28" s="426"/>
      <c r="B28" s="450" t="s">
        <v>772</v>
      </c>
      <c r="C28" s="450"/>
      <c r="D28" s="450"/>
      <c r="E28" s="450"/>
      <c r="F28" s="450"/>
      <c r="G28" s="450"/>
    </row>
    <row r="29" spans="1:7" ht="9" customHeight="1">
      <c r="A29" s="426"/>
      <c r="B29" s="9"/>
      <c r="C29" s="9"/>
      <c r="D29" s="9"/>
      <c r="E29" s="9"/>
      <c r="F29" s="9"/>
      <c r="G29" s="9"/>
    </row>
    <row r="30" spans="1:7" ht="15.75">
      <c r="A30" s="426" t="s">
        <v>10</v>
      </c>
      <c r="B30" s="518" t="s">
        <v>41</v>
      </c>
      <c r="C30" s="518"/>
      <c r="D30" s="518"/>
      <c r="E30" s="518"/>
      <c r="F30" s="518"/>
      <c r="G30" s="518"/>
    </row>
    <row r="31" spans="1:7" ht="15.75">
      <c r="A31" s="425" t="s">
        <v>13</v>
      </c>
      <c r="B31" s="525" t="s">
        <v>234</v>
      </c>
      <c r="C31" s="525"/>
      <c r="D31" s="525"/>
      <c r="E31" s="525"/>
      <c r="F31" s="525"/>
      <c r="G31" s="525"/>
    </row>
    <row r="32" spans="1:7" ht="18" customHeight="1">
      <c r="A32" s="6">
        <v>1</v>
      </c>
      <c r="B32" s="502" t="s">
        <v>771</v>
      </c>
      <c r="C32" s="502"/>
      <c r="D32" s="502"/>
      <c r="E32" s="502"/>
      <c r="F32" s="502"/>
      <c r="G32" s="502"/>
    </row>
    <row r="33" spans="1:7" ht="16.5" customHeight="1">
      <c r="A33" s="6">
        <v>2</v>
      </c>
      <c r="B33" s="502" t="s">
        <v>770</v>
      </c>
      <c r="C33" s="502"/>
      <c r="D33" s="502"/>
      <c r="E33" s="502"/>
      <c r="F33" s="502"/>
      <c r="G33" s="502"/>
    </row>
    <row r="34" spans="1:7" ht="19.5" customHeight="1">
      <c r="A34" s="6">
        <v>3</v>
      </c>
      <c r="B34" s="502" t="s">
        <v>769</v>
      </c>
      <c r="C34" s="502"/>
      <c r="D34" s="502"/>
      <c r="E34" s="502"/>
      <c r="F34" s="502"/>
      <c r="G34" s="502"/>
    </row>
    <row r="35" spans="1:7" ht="15.75" customHeight="1">
      <c r="A35" s="6">
        <v>4</v>
      </c>
      <c r="B35" s="502" t="s">
        <v>768</v>
      </c>
      <c r="C35" s="502"/>
      <c r="D35" s="502"/>
      <c r="E35" s="502"/>
      <c r="F35" s="502"/>
      <c r="G35" s="502"/>
    </row>
    <row r="36" ht="15.75">
      <c r="A36" s="254"/>
    </row>
    <row r="37" spans="1:2" ht="15.75">
      <c r="A37" s="256" t="s">
        <v>11</v>
      </c>
      <c r="B37" s="244" t="s">
        <v>533</v>
      </c>
    </row>
    <row r="38" spans="1:7" ht="33" customHeight="1">
      <c r="A38" s="256"/>
      <c r="B38" s="526" t="s">
        <v>767</v>
      </c>
      <c r="C38" s="526"/>
      <c r="D38" s="526"/>
      <c r="E38" s="526"/>
      <c r="F38" s="526"/>
      <c r="G38" s="526"/>
    </row>
    <row r="39" spans="1:7" ht="15.75">
      <c r="A39" s="426" t="s">
        <v>15</v>
      </c>
      <c r="B39" s="518" t="s">
        <v>535</v>
      </c>
      <c r="C39" s="518"/>
      <c r="D39" s="518"/>
      <c r="E39" s="518"/>
      <c r="F39" s="518"/>
      <c r="G39" s="518"/>
    </row>
    <row r="40" spans="1:7" ht="15.75">
      <c r="A40" s="425" t="s">
        <v>13</v>
      </c>
      <c r="B40" s="525" t="s">
        <v>14</v>
      </c>
      <c r="C40" s="525"/>
      <c r="D40" s="525"/>
      <c r="E40" s="525"/>
      <c r="F40" s="525"/>
      <c r="G40" s="525"/>
    </row>
    <row r="41" spans="1:7" ht="15.75">
      <c r="A41" s="425">
        <v>1</v>
      </c>
      <c r="B41" s="565" t="s">
        <v>766</v>
      </c>
      <c r="C41" s="565"/>
      <c r="D41" s="565"/>
      <c r="E41" s="565"/>
      <c r="F41" s="565"/>
      <c r="G41" s="565"/>
    </row>
    <row r="42" spans="1:7" ht="15.75">
      <c r="A42" s="426"/>
      <c r="B42" s="424"/>
      <c r="C42" s="424"/>
      <c r="D42" s="424"/>
      <c r="E42" s="424"/>
      <c r="F42" s="424"/>
      <c r="G42" s="424"/>
    </row>
    <row r="43" spans="1:7" ht="15.75">
      <c r="A43" s="426" t="s">
        <v>22</v>
      </c>
      <c r="B43" s="257" t="s">
        <v>18</v>
      </c>
      <c r="C43" s="424"/>
      <c r="D43" s="424"/>
      <c r="E43" s="424"/>
      <c r="F43" s="424"/>
      <c r="G43" s="424"/>
    </row>
    <row r="44" spans="1:2" ht="15.75">
      <c r="A44" s="254"/>
      <c r="B44" s="244" t="s">
        <v>537</v>
      </c>
    </row>
    <row r="45" spans="1:5" ht="47.25">
      <c r="A45" s="425" t="s">
        <v>13</v>
      </c>
      <c r="B45" s="425" t="s">
        <v>18</v>
      </c>
      <c r="C45" s="425" t="s">
        <v>19</v>
      </c>
      <c r="D45" s="425" t="s">
        <v>20</v>
      </c>
      <c r="E45" s="425" t="s">
        <v>21</v>
      </c>
    </row>
    <row r="46" spans="1:5" ht="15.75">
      <c r="A46" s="425">
        <v>1</v>
      </c>
      <c r="B46" s="425">
        <v>2</v>
      </c>
      <c r="C46" s="425">
        <v>3</v>
      </c>
      <c r="D46" s="425">
        <v>4</v>
      </c>
      <c r="E46" s="425">
        <v>5</v>
      </c>
    </row>
    <row r="47" spans="1:5" ht="110.25">
      <c r="A47" s="425">
        <v>1</v>
      </c>
      <c r="B47" s="258" t="s">
        <v>765</v>
      </c>
      <c r="C47" s="259">
        <v>510739</v>
      </c>
      <c r="D47" s="259">
        <v>37000</v>
      </c>
      <c r="E47" s="259">
        <f>SUM(C47:D47)</f>
        <v>547739</v>
      </c>
    </row>
    <row r="48" spans="1:5" ht="15.75">
      <c r="A48" s="525" t="s">
        <v>21</v>
      </c>
      <c r="B48" s="525"/>
      <c r="C48" s="259">
        <f>SUM(C47)</f>
        <v>510739</v>
      </c>
      <c r="D48" s="259">
        <f>SUM(D47)</f>
        <v>37000</v>
      </c>
      <c r="E48" s="259">
        <f>SUM(E47)</f>
        <v>547739</v>
      </c>
    </row>
    <row r="49" ht="15.75">
      <c r="A49" s="254"/>
    </row>
    <row r="50" spans="1:7" ht="15.75">
      <c r="A50" s="530" t="s">
        <v>194</v>
      </c>
      <c r="B50" s="518" t="s">
        <v>23</v>
      </c>
      <c r="C50" s="518"/>
      <c r="D50" s="518"/>
      <c r="E50" s="518"/>
      <c r="F50" s="518"/>
      <c r="G50" s="518"/>
    </row>
    <row r="51" spans="1:2" ht="15.75">
      <c r="A51" s="530"/>
      <c r="B51" s="260" t="s">
        <v>17</v>
      </c>
    </row>
    <row r="52" spans="1:5" ht="63">
      <c r="A52" s="425" t="s">
        <v>13</v>
      </c>
      <c r="B52" s="425" t="s">
        <v>193</v>
      </c>
      <c r="C52" s="425" t="s">
        <v>19</v>
      </c>
      <c r="D52" s="425" t="s">
        <v>20</v>
      </c>
      <c r="E52" s="425" t="s">
        <v>21</v>
      </c>
    </row>
    <row r="53" spans="1:5" ht="15.75">
      <c r="A53" s="425">
        <v>1</v>
      </c>
      <c r="B53" s="425">
        <v>2</v>
      </c>
      <c r="C53" s="425">
        <v>3</v>
      </c>
      <c r="D53" s="425">
        <v>4</v>
      </c>
      <c r="E53" s="425">
        <v>5</v>
      </c>
    </row>
    <row r="54" spans="1:5" ht="113.25" customHeight="1">
      <c r="A54" s="425">
        <v>1</v>
      </c>
      <c r="B54" s="415" t="s">
        <v>764</v>
      </c>
      <c r="C54" s="259">
        <f>SUM(C47)</f>
        <v>510739</v>
      </c>
      <c r="D54" s="259">
        <f>SUM(D47)</f>
        <v>37000</v>
      </c>
      <c r="E54" s="259">
        <f>SUM(C54:D54)</f>
        <v>547739</v>
      </c>
    </row>
    <row r="55" spans="1:5" ht="15.75">
      <c r="A55" s="525" t="s">
        <v>21</v>
      </c>
      <c r="B55" s="525"/>
      <c r="C55" s="259">
        <f>SUM(C54)</f>
        <v>510739</v>
      </c>
      <c r="D55" s="259">
        <f>SUM(D54)</f>
        <v>37000</v>
      </c>
      <c r="E55" s="259">
        <f>SUM(E54)</f>
        <v>547739</v>
      </c>
    </row>
    <row r="56" ht="15.75">
      <c r="A56" s="254"/>
    </row>
    <row r="57" spans="1:7" ht="15.75">
      <c r="A57" s="426" t="s">
        <v>47</v>
      </c>
      <c r="B57" s="518" t="s">
        <v>195</v>
      </c>
      <c r="C57" s="518"/>
      <c r="D57" s="518"/>
      <c r="E57" s="518"/>
      <c r="F57" s="518"/>
      <c r="G57" s="518"/>
    </row>
    <row r="58" spans="1:7" ht="46.5" customHeight="1">
      <c r="A58" s="425" t="s">
        <v>13</v>
      </c>
      <c r="B58" s="425" t="s">
        <v>196</v>
      </c>
      <c r="C58" s="425" t="s">
        <v>197</v>
      </c>
      <c r="D58" s="425" t="s">
        <v>198</v>
      </c>
      <c r="E58" s="425" t="s">
        <v>19</v>
      </c>
      <c r="F58" s="425" t="s">
        <v>20</v>
      </c>
      <c r="G58" s="425" t="s">
        <v>21</v>
      </c>
    </row>
    <row r="59" spans="1:7" ht="15.75">
      <c r="A59" s="425">
        <v>1</v>
      </c>
      <c r="B59" s="425">
        <v>2</v>
      </c>
      <c r="C59" s="425">
        <v>3</v>
      </c>
      <c r="D59" s="425">
        <v>4</v>
      </c>
      <c r="E59" s="425">
        <v>5</v>
      </c>
      <c r="F59" s="425">
        <v>6</v>
      </c>
      <c r="G59" s="425">
        <v>7</v>
      </c>
    </row>
    <row r="60" spans="1:7" ht="15.75">
      <c r="A60" s="6">
        <v>1</v>
      </c>
      <c r="B60" s="7" t="s">
        <v>199</v>
      </c>
      <c r="C60" s="6"/>
      <c r="D60" s="6"/>
      <c r="E60" s="425"/>
      <c r="F60" s="425"/>
      <c r="G60" s="425"/>
    </row>
    <row r="61" spans="1:7" ht="15.75">
      <c r="A61" s="6"/>
      <c r="B61" s="7" t="s">
        <v>57</v>
      </c>
      <c r="C61" s="6" t="s">
        <v>537</v>
      </c>
      <c r="D61" s="6" t="s">
        <v>61</v>
      </c>
      <c r="E61" s="259">
        <f>SUM(C54)</f>
        <v>510739</v>
      </c>
      <c r="F61" s="259">
        <f>SUM(D54)</f>
        <v>37000</v>
      </c>
      <c r="G61" s="259">
        <f>SUM(E61:F61)</f>
        <v>547739</v>
      </c>
    </row>
    <row r="62" spans="1:7" ht="15.75">
      <c r="A62" s="6">
        <v>2</v>
      </c>
      <c r="B62" s="7" t="s">
        <v>200</v>
      </c>
      <c r="C62" s="6"/>
      <c r="D62" s="6"/>
      <c r="E62" s="425"/>
      <c r="F62" s="425"/>
      <c r="G62" s="425"/>
    </row>
    <row r="63" spans="1:7" ht="78.75">
      <c r="A63" s="7"/>
      <c r="B63" s="7" t="s">
        <v>763</v>
      </c>
      <c r="C63" s="6" t="s">
        <v>251</v>
      </c>
      <c r="D63" s="6" t="s">
        <v>70</v>
      </c>
      <c r="E63" s="425">
        <v>18000</v>
      </c>
      <c r="F63" s="425"/>
      <c r="G63" s="425">
        <f>SUM(E63:F63)</f>
        <v>18000</v>
      </c>
    </row>
    <row r="64" spans="1:7" ht="31.5">
      <c r="A64" s="7"/>
      <c r="B64" s="7" t="s">
        <v>762</v>
      </c>
      <c r="C64" s="6" t="s">
        <v>251</v>
      </c>
      <c r="D64" s="6" t="s">
        <v>70</v>
      </c>
      <c r="E64" s="425"/>
      <c r="F64" s="425">
        <v>1</v>
      </c>
      <c r="G64" s="425">
        <f>SUM(E64:F64)</f>
        <v>1</v>
      </c>
    </row>
    <row r="65" spans="1:7" ht="15.75">
      <c r="A65" s="6">
        <v>3</v>
      </c>
      <c r="B65" s="7" t="s">
        <v>201</v>
      </c>
      <c r="C65" s="6"/>
      <c r="D65" s="6"/>
      <c r="E65" s="425"/>
      <c r="F65" s="425"/>
      <c r="G65" s="425"/>
    </row>
    <row r="66" spans="1:7" ht="126">
      <c r="A66" s="6"/>
      <c r="B66" s="7" t="s">
        <v>761</v>
      </c>
      <c r="C66" s="6" t="s">
        <v>537</v>
      </c>
      <c r="D66" s="6" t="s">
        <v>70</v>
      </c>
      <c r="E66" s="259">
        <f>SUM(E61/12)</f>
        <v>42561.583333333336</v>
      </c>
      <c r="F66" s="259"/>
      <c r="G66" s="259">
        <f>SUM(E66:F66)</f>
        <v>42561.583333333336</v>
      </c>
    </row>
    <row r="67" spans="1:7" ht="47.25">
      <c r="A67" s="6"/>
      <c r="B67" s="7" t="s">
        <v>760</v>
      </c>
      <c r="C67" s="6" t="s">
        <v>537</v>
      </c>
      <c r="D67" s="6" t="s">
        <v>70</v>
      </c>
      <c r="E67" s="259"/>
      <c r="F67" s="259">
        <f>SUM(F61/F64)</f>
        <v>37000</v>
      </c>
      <c r="G67" s="259">
        <f>SUM(E67:F67)</f>
        <v>37000</v>
      </c>
    </row>
    <row r="68" spans="1:7" ht="15.75">
      <c r="A68" s="6">
        <v>4</v>
      </c>
      <c r="B68" s="7" t="s">
        <v>202</v>
      </c>
      <c r="C68" s="6"/>
      <c r="D68" s="6"/>
      <c r="E68" s="425"/>
      <c r="F68" s="425"/>
      <c r="G68" s="425"/>
    </row>
    <row r="69" spans="1:7" ht="63">
      <c r="A69" s="6"/>
      <c r="B69" s="7" t="s">
        <v>542</v>
      </c>
      <c r="C69" s="6" t="s">
        <v>71</v>
      </c>
      <c r="D69" s="6" t="s">
        <v>70</v>
      </c>
      <c r="E69" s="425">
        <v>100</v>
      </c>
      <c r="F69" s="425">
        <v>100</v>
      </c>
      <c r="G69" s="425">
        <f>SUM(E69:F69)/2</f>
        <v>100</v>
      </c>
    </row>
    <row r="70" ht="15.75">
      <c r="A70" s="254"/>
    </row>
    <row r="71" spans="1:7" ht="15.75">
      <c r="A71" s="560" t="s">
        <v>73</v>
      </c>
      <c r="B71" s="560"/>
      <c r="C71" s="560"/>
      <c r="D71" s="559"/>
      <c r="E71" s="558"/>
      <c r="F71" s="557" t="s">
        <v>74</v>
      </c>
      <c r="G71" s="557"/>
    </row>
    <row r="72" spans="1:7" ht="15.75">
      <c r="A72" s="561"/>
      <c r="B72" s="426"/>
      <c r="D72" s="555" t="s">
        <v>203</v>
      </c>
      <c r="F72" s="556" t="s">
        <v>720</v>
      </c>
      <c r="G72" s="556"/>
    </row>
    <row r="73" spans="1:4" ht="15.75">
      <c r="A73" s="518" t="s">
        <v>204</v>
      </c>
      <c r="B73" s="518"/>
      <c r="C73" s="426"/>
      <c r="D73" s="426"/>
    </row>
    <row r="74" spans="1:4" ht="15.75">
      <c r="A74" s="257" t="s">
        <v>722</v>
      </c>
      <c r="B74" s="424"/>
      <c r="C74" s="426"/>
      <c r="D74" s="426"/>
    </row>
    <row r="75" spans="1:7" ht="15.75">
      <c r="A75" s="560" t="s">
        <v>721</v>
      </c>
      <c r="B75" s="560"/>
      <c r="C75" s="560"/>
      <c r="D75" s="559"/>
      <c r="E75" s="558"/>
      <c r="F75" s="557" t="s">
        <v>76</v>
      </c>
      <c r="G75" s="557"/>
    </row>
    <row r="76" spans="1:7" ht="15.75">
      <c r="A76" s="260"/>
      <c r="B76" s="426"/>
      <c r="C76" s="426"/>
      <c r="D76" s="555" t="s">
        <v>203</v>
      </c>
      <c r="F76" s="556" t="s">
        <v>720</v>
      </c>
      <c r="G76" s="556"/>
    </row>
    <row r="77" spans="1:7" ht="15.75">
      <c r="A77" s="260"/>
      <c r="B77" s="426"/>
      <c r="C77" s="426"/>
      <c r="D77" s="555"/>
      <c r="F77" s="554"/>
      <c r="G77" s="554"/>
    </row>
    <row r="78" spans="1:2" ht="15">
      <c r="A78" s="553" t="s">
        <v>162</v>
      </c>
      <c r="B78" s="553"/>
    </row>
    <row r="79" ht="15">
      <c r="A79" s="552" t="s">
        <v>719</v>
      </c>
    </row>
  </sheetData>
  <sheetProtection/>
  <mergeCells count="44">
    <mergeCell ref="F76:G76"/>
    <mergeCell ref="A78:B78"/>
    <mergeCell ref="A71:C71"/>
    <mergeCell ref="F71:G71"/>
    <mergeCell ref="F72:G72"/>
    <mergeCell ref="A73:B73"/>
    <mergeCell ref="A75:C75"/>
    <mergeCell ref="F75:G75"/>
    <mergeCell ref="B41:G41"/>
    <mergeCell ref="A48:B48"/>
    <mergeCell ref="A50:A51"/>
    <mergeCell ref="B50:G50"/>
    <mergeCell ref="A55:B55"/>
    <mergeCell ref="B57:G57"/>
    <mergeCell ref="B33:G33"/>
    <mergeCell ref="B34:G34"/>
    <mergeCell ref="B35:G35"/>
    <mergeCell ref="B38:G38"/>
    <mergeCell ref="B39:G39"/>
    <mergeCell ref="B40:G40"/>
    <mergeCell ref="B26:G26"/>
    <mergeCell ref="B27:G27"/>
    <mergeCell ref="B28:G28"/>
    <mergeCell ref="B30:G30"/>
    <mergeCell ref="B31:G31"/>
    <mergeCell ref="B32:G32"/>
    <mergeCell ref="E18:F18"/>
    <mergeCell ref="B21:G21"/>
    <mergeCell ref="B22:G22"/>
    <mergeCell ref="B23:G23"/>
    <mergeCell ref="B24:G24"/>
    <mergeCell ref="B25:G25"/>
    <mergeCell ref="A11:G11"/>
    <mergeCell ref="D13:F13"/>
    <mergeCell ref="D14:E14"/>
    <mergeCell ref="D15:F15"/>
    <mergeCell ref="D16:E16"/>
    <mergeCell ref="E17:F17"/>
    <mergeCell ref="E1:G2"/>
    <mergeCell ref="E5:G5"/>
    <mergeCell ref="E6:G6"/>
    <mergeCell ref="E7:G7"/>
    <mergeCell ref="E8:G8"/>
    <mergeCell ref="A10:G10"/>
  </mergeCells>
  <printOptions/>
  <pageMargins left="0.1968503937007874" right="0.1968503937007874" top="1.1811023622047245" bottom="0.1968503937007874" header="0.31496062992125984" footer="0.31496062992125984"/>
  <pageSetup horizontalDpi="600" verticalDpi="600" orientation="landscape" paperSize="9" scale="93" r:id="rId1"/>
  <rowBreaks count="2" manualBreakCount="2">
    <brk id="49" max="255" man="1"/>
    <brk id="6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G76"/>
  <sheetViews>
    <sheetView zoomScalePageLayoutView="0" workbookViewId="0" topLeftCell="A52">
      <selection activeCell="B36" sqref="B36:G36"/>
    </sheetView>
  </sheetViews>
  <sheetFormatPr defaultColWidth="21.57421875" defaultRowHeight="15"/>
  <cols>
    <col min="1" max="1" width="6.57421875" style="244" customWidth="1"/>
    <col min="2" max="4" width="21.57421875" style="244" customWidth="1"/>
    <col min="5" max="5" width="22.421875" style="244" customWidth="1"/>
    <col min="6" max="7" width="21.57421875" style="244" customWidth="1"/>
    <col min="8" max="29" width="10.28125" style="244" customWidth="1"/>
    <col min="30" max="16384" width="21.57421875" style="244" customWidth="1"/>
  </cols>
  <sheetData>
    <row r="1" spans="1:7" ht="15" customHeight="1">
      <c r="A1" s="243"/>
      <c r="B1" s="243"/>
      <c r="C1" s="243"/>
      <c r="D1" s="243"/>
      <c r="E1" s="517" t="s">
        <v>518</v>
      </c>
      <c r="F1" s="517"/>
      <c r="G1" s="517"/>
    </row>
    <row r="2" spans="1:7" ht="21" customHeight="1">
      <c r="A2" s="243"/>
      <c r="B2" s="243"/>
      <c r="C2" s="243"/>
      <c r="D2" s="243"/>
      <c r="E2" s="517"/>
      <c r="F2" s="517"/>
      <c r="G2" s="517"/>
    </row>
    <row r="3" spans="1:7" ht="17.25" customHeight="1">
      <c r="A3" s="243"/>
      <c r="B3" s="243"/>
      <c r="C3" s="243"/>
      <c r="D3" s="243"/>
      <c r="E3" s="243"/>
      <c r="F3" s="564"/>
      <c r="G3" s="564"/>
    </row>
    <row r="4" spans="1:7" ht="15.75">
      <c r="A4" s="426"/>
      <c r="B4" s="243"/>
      <c r="C4" s="243"/>
      <c r="D4" s="243"/>
      <c r="E4" s="424" t="s">
        <v>166</v>
      </c>
      <c r="F4" s="245"/>
      <c r="G4" s="245"/>
    </row>
    <row r="5" spans="1:7" ht="15.75">
      <c r="A5" s="426"/>
      <c r="B5" s="243"/>
      <c r="C5" s="243"/>
      <c r="D5" s="243"/>
      <c r="E5" s="518" t="s">
        <v>95</v>
      </c>
      <c r="F5" s="518"/>
      <c r="G5" s="518"/>
    </row>
    <row r="6" spans="1:7" ht="15.75">
      <c r="A6" s="426"/>
      <c r="B6" s="426"/>
      <c r="C6" s="243"/>
      <c r="D6" s="243"/>
      <c r="E6" s="519" t="s">
        <v>207</v>
      </c>
      <c r="F6" s="519"/>
      <c r="G6" s="519"/>
    </row>
    <row r="7" spans="1:7" ht="15" customHeight="1">
      <c r="A7" s="426"/>
      <c r="B7" s="243"/>
      <c r="C7" s="243"/>
      <c r="D7" s="243"/>
      <c r="E7" s="520" t="s">
        <v>167</v>
      </c>
      <c r="F7" s="520"/>
      <c r="G7" s="520"/>
    </row>
    <row r="8" spans="1:7" ht="15" customHeight="1">
      <c r="A8" s="426"/>
      <c r="B8" s="243"/>
      <c r="C8" s="243"/>
      <c r="D8" s="243"/>
      <c r="E8" s="521" t="s">
        <v>519</v>
      </c>
      <c r="F8" s="521"/>
      <c r="G8" s="521"/>
    </row>
    <row r="9" spans="1:7" ht="15" customHeight="1">
      <c r="A9" s="426"/>
      <c r="B9" s="243"/>
      <c r="C9" s="243"/>
      <c r="D9" s="243"/>
      <c r="E9" s="428"/>
      <c r="F9" s="428"/>
      <c r="G9" s="428"/>
    </row>
    <row r="10" spans="1:7" ht="15.75">
      <c r="A10" s="522" t="s">
        <v>168</v>
      </c>
      <c r="B10" s="522"/>
      <c r="C10" s="522"/>
      <c r="D10" s="522"/>
      <c r="E10" s="522"/>
      <c r="F10" s="522"/>
      <c r="G10" s="522"/>
    </row>
    <row r="11" spans="1:7" ht="15.75">
      <c r="A11" s="522" t="s">
        <v>315</v>
      </c>
      <c r="B11" s="522"/>
      <c r="C11" s="522"/>
      <c r="D11" s="522"/>
      <c r="E11" s="522"/>
      <c r="F11" s="522"/>
      <c r="G11" s="522"/>
    </row>
    <row r="12" spans="1:7" ht="15.75">
      <c r="A12" s="156"/>
      <c r="B12" s="156"/>
      <c r="C12" s="156"/>
      <c r="D12" s="156"/>
      <c r="E12" s="156"/>
      <c r="F12" s="156"/>
      <c r="G12" s="156"/>
    </row>
    <row r="13" spans="1:7" ht="15" customHeight="1">
      <c r="A13" s="246" t="s">
        <v>304</v>
      </c>
      <c r="B13" s="420" t="s">
        <v>478</v>
      </c>
      <c r="C13" s="210"/>
      <c r="D13" s="456" t="s">
        <v>207</v>
      </c>
      <c r="E13" s="457"/>
      <c r="F13" s="458"/>
      <c r="G13" s="190">
        <v>38068238</v>
      </c>
    </row>
    <row r="14" spans="1:7" ht="22.5" customHeight="1">
      <c r="A14" s="66"/>
      <c r="B14" s="422" t="s">
        <v>308</v>
      </c>
      <c r="C14" s="196"/>
      <c r="D14" s="459" t="s">
        <v>167</v>
      </c>
      <c r="E14" s="459"/>
      <c r="F14" s="212"/>
      <c r="G14" s="192" t="s">
        <v>305</v>
      </c>
    </row>
    <row r="15" spans="1:7" ht="15" customHeight="1">
      <c r="A15" s="247" t="s">
        <v>306</v>
      </c>
      <c r="B15" s="420" t="s">
        <v>479</v>
      </c>
      <c r="C15" s="211"/>
      <c r="D15" s="460" t="s">
        <v>207</v>
      </c>
      <c r="E15" s="461"/>
      <c r="F15" s="462"/>
      <c r="G15" s="193">
        <v>38068238</v>
      </c>
    </row>
    <row r="16" spans="1:7" ht="33" customHeight="1">
      <c r="A16" s="213"/>
      <c r="B16" s="422" t="s">
        <v>308</v>
      </c>
      <c r="C16" s="196"/>
      <c r="D16" s="463" t="s">
        <v>205</v>
      </c>
      <c r="E16" s="463"/>
      <c r="F16" s="212"/>
      <c r="G16" s="192" t="s">
        <v>305</v>
      </c>
    </row>
    <row r="17" spans="1:7" ht="47.25" customHeight="1">
      <c r="A17" s="248" t="s">
        <v>307</v>
      </c>
      <c r="B17" s="249" t="s">
        <v>786</v>
      </c>
      <c r="C17" s="427">
        <v>6012</v>
      </c>
      <c r="D17" s="249" t="s">
        <v>758</v>
      </c>
      <c r="E17" s="523" t="s">
        <v>785</v>
      </c>
      <c r="F17" s="523"/>
      <c r="G17" s="249" t="s">
        <v>477</v>
      </c>
    </row>
    <row r="18" spans="1:7" ht="46.5" customHeight="1">
      <c r="A18" s="243"/>
      <c r="B18" s="250" t="s">
        <v>308</v>
      </c>
      <c r="C18" s="429" t="s">
        <v>309</v>
      </c>
      <c r="D18" s="429" t="s">
        <v>310</v>
      </c>
      <c r="E18" s="524" t="s">
        <v>311</v>
      </c>
      <c r="F18" s="524"/>
      <c r="G18" s="429" t="s">
        <v>312</v>
      </c>
    </row>
    <row r="19" spans="1:7" ht="20.25" customHeight="1">
      <c r="A19" s="426" t="s">
        <v>172</v>
      </c>
      <c r="B19" s="251" t="s">
        <v>522</v>
      </c>
      <c r="C19" s="251"/>
      <c r="D19" s="9"/>
      <c r="E19" s="252">
        <f>SUM(C20+F20)</f>
        <v>359577</v>
      </c>
      <c r="F19" s="9" t="s">
        <v>523</v>
      </c>
      <c r="G19" s="9"/>
    </row>
    <row r="20" spans="1:7" ht="18.75" customHeight="1">
      <c r="A20" s="426"/>
      <c r="B20" s="9" t="s">
        <v>524</v>
      </c>
      <c r="C20" s="252">
        <f>SUM(C47)</f>
        <v>359577</v>
      </c>
      <c r="D20" s="9" t="s">
        <v>525</v>
      </c>
      <c r="E20" s="253" t="s">
        <v>526</v>
      </c>
      <c r="F20" s="252">
        <f>SUM(D47)</f>
        <v>0</v>
      </c>
      <c r="G20" s="9" t="s">
        <v>527</v>
      </c>
    </row>
    <row r="21" spans="1:7" ht="15.75">
      <c r="A21" s="426" t="s">
        <v>9</v>
      </c>
      <c r="B21" s="518" t="s">
        <v>528</v>
      </c>
      <c r="C21" s="518"/>
      <c r="D21" s="518"/>
      <c r="E21" s="518"/>
      <c r="F21" s="518"/>
      <c r="G21" s="518"/>
    </row>
    <row r="22" spans="1:7" ht="15.75">
      <c r="A22" s="426"/>
      <c r="B22" s="436" t="s">
        <v>529</v>
      </c>
      <c r="C22" s="436"/>
      <c r="D22" s="436"/>
      <c r="E22" s="436"/>
      <c r="F22" s="436"/>
      <c r="G22" s="436"/>
    </row>
    <row r="23" spans="1:7" ht="15.75">
      <c r="A23" s="426"/>
      <c r="B23" s="436" t="s">
        <v>530</v>
      </c>
      <c r="C23" s="436"/>
      <c r="D23" s="436"/>
      <c r="E23" s="436"/>
      <c r="F23" s="436"/>
      <c r="G23" s="436"/>
    </row>
    <row r="24" spans="1:7" ht="15.75">
      <c r="A24" s="426"/>
      <c r="B24" s="436" t="s">
        <v>531</v>
      </c>
      <c r="C24" s="436"/>
      <c r="D24" s="436"/>
      <c r="E24" s="436"/>
      <c r="F24" s="436"/>
      <c r="G24" s="436"/>
    </row>
    <row r="25" spans="1:7" ht="33.75" customHeight="1">
      <c r="A25" s="426"/>
      <c r="B25" s="436" t="s">
        <v>532</v>
      </c>
      <c r="C25" s="436"/>
      <c r="D25" s="436"/>
      <c r="E25" s="436"/>
      <c r="F25" s="436"/>
      <c r="G25" s="436"/>
    </row>
    <row r="26" spans="1:7" ht="38.25" customHeight="1">
      <c r="A26" s="426"/>
      <c r="B26" s="450" t="s">
        <v>713</v>
      </c>
      <c r="C26" s="450"/>
      <c r="D26" s="450"/>
      <c r="E26" s="450"/>
      <c r="F26" s="450"/>
      <c r="G26" s="450"/>
    </row>
    <row r="27" spans="1:7" ht="30.75" customHeight="1">
      <c r="A27" s="426"/>
      <c r="B27" s="450" t="s">
        <v>784</v>
      </c>
      <c r="C27" s="450"/>
      <c r="D27" s="450"/>
      <c r="E27" s="450"/>
      <c r="F27" s="450"/>
      <c r="G27" s="450"/>
    </row>
    <row r="28" spans="1:7" ht="16.5" customHeight="1">
      <c r="A28" s="426"/>
      <c r="B28" s="9"/>
      <c r="C28" s="9"/>
      <c r="D28" s="9"/>
      <c r="E28" s="9"/>
      <c r="F28" s="9"/>
      <c r="G28" s="9"/>
    </row>
    <row r="29" spans="1:7" ht="15.75">
      <c r="A29" s="426" t="s">
        <v>10</v>
      </c>
      <c r="B29" s="518" t="s">
        <v>41</v>
      </c>
      <c r="C29" s="518"/>
      <c r="D29" s="518"/>
      <c r="E29" s="518"/>
      <c r="F29" s="518"/>
      <c r="G29" s="518"/>
    </row>
    <row r="30" spans="1:7" ht="15.75">
      <c r="A30" s="425" t="s">
        <v>13</v>
      </c>
      <c r="B30" s="525" t="s">
        <v>234</v>
      </c>
      <c r="C30" s="525"/>
      <c r="D30" s="525"/>
      <c r="E30" s="525"/>
      <c r="F30" s="525"/>
      <c r="G30" s="525"/>
    </row>
    <row r="31" spans="1:7" ht="18.75" customHeight="1">
      <c r="A31" s="6">
        <v>1</v>
      </c>
      <c r="B31" s="502" t="s">
        <v>783</v>
      </c>
      <c r="C31" s="502"/>
      <c r="D31" s="502"/>
      <c r="E31" s="502"/>
      <c r="F31" s="502"/>
      <c r="G31" s="502"/>
    </row>
    <row r="32" spans="1:7" ht="18.75" customHeight="1">
      <c r="A32" s="6">
        <v>2</v>
      </c>
      <c r="B32" s="502" t="s">
        <v>782</v>
      </c>
      <c r="C32" s="502"/>
      <c r="D32" s="502"/>
      <c r="E32" s="502"/>
      <c r="F32" s="502"/>
      <c r="G32" s="502"/>
    </row>
    <row r="33" spans="1:7" ht="15.75" customHeight="1">
      <c r="A33" s="6">
        <v>3</v>
      </c>
      <c r="B33" s="502" t="s">
        <v>781</v>
      </c>
      <c r="C33" s="502"/>
      <c r="D33" s="502"/>
      <c r="E33" s="502"/>
      <c r="F33" s="502"/>
      <c r="G33" s="502"/>
    </row>
    <row r="34" spans="1:7" ht="32.25" customHeight="1">
      <c r="A34" s="6">
        <v>4</v>
      </c>
      <c r="B34" s="502" t="s">
        <v>780</v>
      </c>
      <c r="C34" s="502"/>
      <c r="D34" s="502"/>
      <c r="E34" s="502"/>
      <c r="F34" s="502"/>
      <c r="G34" s="502"/>
    </row>
    <row r="35" ht="15.75">
      <c r="A35" s="254"/>
    </row>
    <row r="36" spans="1:2" ht="15.75">
      <c r="A36" s="256" t="s">
        <v>11</v>
      </c>
      <c r="B36" s="244" t="s">
        <v>533</v>
      </c>
    </row>
    <row r="37" spans="1:7" ht="48" customHeight="1">
      <c r="A37" s="256"/>
      <c r="B37" s="526" t="s">
        <v>779</v>
      </c>
      <c r="C37" s="526"/>
      <c r="D37" s="526"/>
      <c r="E37" s="526"/>
      <c r="F37" s="526"/>
      <c r="G37" s="526"/>
    </row>
    <row r="38" spans="1:7" ht="15.75">
      <c r="A38" s="426" t="s">
        <v>15</v>
      </c>
      <c r="B38" s="518" t="s">
        <v>535</v>
      </c>
      <c r="C38" s="518"/>
      <c r="D38" s="518"/>
      <c r="E38" s="518"/>
      <c r="F38" s="518"/>
      <c r="G38" s="518"/>
    </row>
    <row r="39" spans="1:7" ht="15.75">
      <c r="A39" s="425" t="s">
        <v>13</v>
      </c>
      <c r="B39" s="525" t="s">
        <v>14</v>
      </c>
      <c r="C39" s="525"/>
      <c r="D39" s="525"/>
      <c r="E39" s="525"/>
      <c r="F39" s="525"/>
      <c r="G39" s="525"/>
    </row>
    <row r="40" spans="1:7" ht="15.75">
      <c r="A40" s="425">
        <v>1</v>
      </c>
      <c r="B40" s="565" t="s">
        <v>778</v>
      </c>
      <c r="C40" s="565"/>
      <c r="D40" s="565"/>
      <c r="E40" s="565"/>
      <c r="F40" s="565"/>
      <c r="G40" s="565"/>
    </row>
    <row r="41" spans="1:7" ht="15.75">
      <c r="A41" s="426"/>
      <c r="B41" s="424"/>
      <c r="C41" s="424"/>
      <c r="D41" s="424"/>
      <c r="E41" s="424"/>
      <c r="F41" s="424"/>
      <c r="G41" s="424"/>
    </row>
    <row r="42" spans="1:7" ht="15.75">
      <c r="A42" s="426" t="s">
        <v>22</v>
      </c>
      <c r="B42" s="257" t="s">
        <v>18</v>
      </c>
      <c r="C42" s="424"/>
      <c r="D42" s="424"/>
      <c r="E42" s="424"/>
      <c r="F42" s="424"/>
      <c r="G42" s="424"/>
    </row>
    <row r="43" spans="1:2" ht="15.75">
      <c r="A43" s="254"/>
      <c r="B43" s="244" t="s">
        <v>537</v>
      </c>
    </row>
    <row r="44" spans="1:5" ht="47.25">
      <c r="A44" s="425" t="s">
        <v>13</v>
      </c>
      <c r="B44" s="425" t="s">
        <v>18</v>
      </c>
      <c r="C44" s="425" t="s">
        <v>19</v>
      </c>
      <c r="D44" s="425" t="s">
        <v>20</v>
      </c>
      <c r="E44" s="425" t="s">
        <v>21</v>
      </c>
    </row>
    <row r="45" spans="1:5" ht="15.75">
      <c r="A45" s="425">
        <v>1</v>
      </c>
      <c r="B45" s="425">
        <v>2</v>
      </c>
      <c r="C45" s="425">
        <v>3</v>
      </c>
      <c r="D45" s="425">
        <v>4</v>
      </c>
      <c r="E45" s="425">
        <v>5</v>
      </c>
    </row>
    <row r="46" spans="1:5" ht="94.5">
      <c r="A46" s="425">
        <v>1</v>
      </c>
      <c r="B46" s="258" t="s">
        <v>778</v>
      </c>
      <c r="C46" s="259">
        <v>359577</v>
      </c>
      <c r="D46" s="259">
        <v>0</v>
      </c>
      <c r="E46" s="259">
        <f>SUM(C46:D46)</f>
        <v>359577</v>
      </c>
    </row>
    <row r="47" spans="1:5" ht="15.75">
      <c r="A47" s="525" t="s">
        <v>21</v>
      </c>
      <c r="B47" s="525"/>
      <c r="C47" s="259">
        <f>SUM(C46)</f>
        <v>359577</v>
      </c>
      <c r="D47" s="259">
        <f>SUM(D46)</f>
        <v>0</v>
      </c>
      <c r="E47" s="259">
        <f>SUM(E46)</f>
        <v>359577</v>
      </c>
    </row>
    <row r="48" ht="15.75">
      <c r="A48" s="254"/>
    </row>
    <row r="49" spans="1:7" ht="15.75">
      <c r="A49" s="530" t="s">
        <v>194</v>
      </c>
      <c r="B49" s="518" t="s">
        <v>23</v>
      </c>
      <c r="C49" s="518"/>
      <c r="D49" s="518"/>
      <c r="E49" s="518"/>
      <c r="F49" s="518"/>
      <c r="G49" s="518"/>
    </row>
    <row r="50" spans="1:2" ht="15.75">
      <c r="A50" s="530"/>
      <c r="B50" s="260" t="s">
        <v>17</v>
      </c>
    </row>
    <row r="51" spans="1:5" ht="63">
      <c r="A51" s="425" t="s">
        <v>13</v>
      </c>
      <c r="B51" s="425" t="s">
        <v>193</v>
      </c>
      <c r="C51" s="425" t="s">
        <v>19</v>
      </c>
      <c r="D51" s="425" t="s">
        <v>20</v>
      </c>
      <c r="E51" s="425" t="s">
        <v>21</v>
      </c>
    </row>
    <row r="52" spans="1:5" ht="15.75">
      <c r="A52" s="425">
        <v>1</v>
      </c>
      <c r="B52" s="425">
        <v>2</v>
      </c>
      <c r="C52" s="425">
        <v>3</v>
      </c>
      <c r="D52" s="425">
        <v>4</v>
      </c>
      <c r="E52" s="425">
        <v>5</v>
      </c>
    </row>
    <row r="53" spans="1:5" ht="113.25" customHeight="1">
      <c r="A53" s="425">
        <v>1</v>
      </c>
      <c r="B53" s="415" t="s">
        <v>764</v>
      </c>
      <c r="C53" s="259">
        <f>SUM(C46)</f>
        <v>359577</v>
      </c>
      <c r="D53" s="259">
        <f>SUM(D46)</f>
        <v>0</v>
      </c>
      <c r="E53" s="259">
        <f>SUM(C53:D53)</f>
        <v>359577</v>
      </c>
    </row>
    <row r="54" spans="1:5" ht="15.75">
      <c r="A54" s="525" t="s">
        <v>21</v>
      </c>
      <c r="B54" s="525"/>
      <c r="C54" s="259">
        <f>SUM(C53)</f>
        <v>359577</v>
      </c>
      <c r="D54" s="259">
        <f>SUM(D53)</f>
        <v>0</v>
      </c>
      <c r="E54" s="259">
        <f>SUM(E53)</f>
        <v>359577</v>
      </c>
    </row>
    <row r="55" ht="15.75">
      <c r="A55" s="254"/>
    </row>
    <row r="56" spans="1:7" ht="15.75">
      <c r="A56" s="426" t="s">
        <v>47</v>
      </c>
      <c r="B56" s="518" t="s">
        <v>195</v>
      </c>
      <c r="C56" s="518"/>
      <c r="D56" s="518"/>
      <c r="E56" s="518"/>
      <c r="F56" s="518"/>
      <c r="G56" s="518"/>
    </row>
    <row r="57" spans="1:7" ht="46.5" customHeight="1">
      <c r="A57" s="425" t="s">
        <v>13</v>
      </c>
      <c r="B57" s="425" t="s">
        <v>196</v>
      </c>
      <c r="C57" s="425" t="s">
        <v>197</v>
      </c>
      <c r="D57" s="425" t="s">
        <v>198</v>
      </c>
      <c r="E57" s="425" t="s">
        <v>19</v>
      </c>
      <c r="F57" s="425" t="s">
        <v>20</v>
      </c>
      <c r="G57" s="425" t="s">
        <v>21</v>
      </c>
    </row>
    <row r="58" spans="1:7" ht="15.75">
      <c r="A58" s="425">
        <v>1</v>
      </c>
      <c r="B58" s="425">
        <v>2</v>
      </c>
      <c r="C58" s="425">
        <v>3</v>
      </c>
      <c r="D58" s="425">
        <v>4</v>
      </c>
      <c r="E58" s="425">
        <v>5</v>
      </c>
      <c r="F58" s="425">
        <v>6</v>
      </c>
      <c r="G58" s="425">
        <v>7</v>
      </c>
    </row>
    <row r="59" spans="1:7" ht="15.75">
      <c r="A59" s="6">
        <v>1</v>
      </c>
      <c r="B59" s="7" t="s">
        <v>199</v>
      </c>
      <c r="C59" s="6"/>
      <c r="D59" s="6"/>
      <c r="E59" s="425"/>
      <c r="F59" s="425"/>
      <c r="G59" s="425"/>
    </row>
    <row r="60" spans="1:7" ht="15.75">
      <c r="A60" s="6"/>
      <c r="B60" s="7" t="s">
        <v>57</v>
      </c>
      <c r="C60" s="6" t="s">
        <v>537</v>
      </c>
      <c r="D60" s="6" t="s">
        <v>61</v>
      </c>
      <c r="E60" s="259">
        <f>SUM(C53)</f>
        <v>359577</v>
      </c>
      <c r="F60" s="259">
        <f>SUM(D53)</f>
        <v>0</v>
      </c>
      <c r="G60" s="259">
        <f>SUM(E60:F60)</f>
        <v>359577</v>
      </c>
    </row>
    <row r="61" spans="1:7" ht="15.75">
      <c r="A61" s="6">
        <v>2</v>
      </c>
      <c r="B61" s="7" t="s">
        <v>200</v>
      </c>
      <c r="C61" s="6"/>
      <c r="D61" s="6"/>
      <c r="E61" s="425"/>
      <c r="F61" s="425"/>
      <c r="G61" s="425"/>
    </row>
    <row r="62" spans="1:7" ht="63">
      <c r="A62" s="7"/>
      <c r="B62" s="7" t="s">
        <v>777</v>
      </c>
      <c r="C62" s="6" t="s">
        <v>251</v>
      </c>
      <c r="D62" s="6" t="s">
        <v>70</v>
      </c>
      <c r="E62" s="425">
        <v>84552</v>
      </c>
      <c r="F62" s="425"/>
      <c r="G62" s="425">
        <f>SUM(E62:F62)</f>
        <v>84552</v>
      </c>
    </row>
    <row r="63" spans="1:7" ht="15.75">
      <c r="A63" s="6">
        <v>3</v>
      </c>
      <c r="B63" s="7" t="s">
        <v>201</v>
      </c>
      <c r="C63" s="6"/>
      <c r="D63" s="6"/>
      <c r="E63" s="425"/>
      <c r="F63" s="425"/>
      <c r="G63" s="425"/>
    </row>
    <row r="64" spans="1:7" ht="63">
      <c r="A64" s="6"/>
      <c r="B64" s="7" t="s">
        <v>776</v>
      </c>
      <c r="C64" s="6" t="s">
        <v>537</v>
      </c>
      <c r="D64" s="6" t="s">
        <v>70</v>
      </c>
      <c r="E64" s="259">
        <f>SUM(E60/E62)*1000</f>
        <v>4252.732046551235</v>
      </c>
      <c r="F64" s="259"/>
      <c r="G64" s="259">
        <f>SUM(E64:F64)</f>
        <v>4252.732046551235</v>
      </c>
    </row>
    <row r="65" spans="1:7" ht="15.75">
      <c r="A65" s="6">
        <v>4</v>
      </c>
      <c r="B65" s="7" t="s">
        <v>202</v>
      </c>
      <c r="C65" s="6"/>
      <c r="D65" s="6"/>
      <c r="E65" s="425"/>
      <c r="F65" s="425"/>
      <c r="G65" s="425"/>
    </row>
    <row r="66" spans="1:7" ht="63">
      <c r="A66" s="6"/>
      <c r="B66" s="7" t="s">
        <v>542</v>
      </c>
      <c r="C66" s="6" t="s">
        <v>71</v>
      </c>
      <c r="D66" s="6" t="s">
        <v>70</v>
      </c>
      <c r="E66" s="425">
        <v>100</v>
      </c>
      <c r="F66" s="425"/>
      <c r="G66" s="425">
        <f>SUM(E66:F66)</f>
        <v>100</v>
      </c>
    </row>
    <row r="67" ht="15.75">
      <c r="A67" s="254"/>
    </row>
    <row r="68" spans="1:7" ht="15.75">
      <c r="A68" s="560" t="s">
        <v>73</v>
      </c>
      <c r="B68" s="560"/>
      <c r="C68" s="560"/>
      <c r="D68" s="559"/>
      <c r="E68" s="558"/>
      <c r="F68" s="557" t="s">
        <v>74</v>
      </c>
      <c r="G68" s="557"/>
    </row>
    <row r="69" spans="1:7" ht="15.75">
      <c r="A69" s="561"/>
      <c r="B69" s="426"/>
      <c r="D69" s="555" t="s">
        <v>203</v>
      </c>
      <c r="F69" s="556" t="s">
        <v>720</v>
      </c>
      <c r="G69" s="556"/>
    </row>
    <row r="70" spans="1:4" ht="15.75">
      <c r="A70" s="518" t="s">
        <v>204</v>
      </c>
      <c r="B70" s="518"/>
      <c r="C70" s="426"/>
      <c r="D70" s="426"/>
    </row>
    <row r="71" spans="1:4" ht="15.75">
      <c r="A71" s="257" t="s">
        <v>722</v>
      </c>
      <c r="B71" s="424"/>
      <c r="C71" s="426"/>
      <c r="D71" s="426"/>
    </row>
    <row r="72" spans="1:7" ht="15.75">
      <c r="A72" s="560" t="s">
        <v>721</v>
      </c>
      <c r="B72" s="560"/>
      <c r="C72" s="560"/>
      <c r="D72" s="559"/>
      <c r="E72" s="558"/>
      <c r="F72" s="557" t="s">
        <v>76</v>
      </c>
      <c r="G72" s="557"/>
    </row>
    <row r="73" spans="1:7" ht="15.75">
      <c r="A73" s="260"/>
      <c r="B73" s="426"/>
      <c r="C73" s="426"/>
      <c r="D73" s="555" t="s">
        <v>203</v>
      </c>
      <c r="F73" s="556" t="s">
        <v>720</v>
      </c>
      <c r="G73" s="556"/>
    </row>
    <row r="74" spans="1:7" ht="15.75">
      <c r="A74" s="260"/>
      <c r="B74" s="426"/>
      <c r="C74" s="426"/>
      <c r="D74" s="555"/>
      <c r="F74" s="554"/>
      <c r="G74" s="554"/>
    </row>
    <row r="75" spans="1:2" ht="15">
      <c r="A75" s="553" t="s">
        <v>162</v>
      </c>
      <c r="B75" s="553"/>
    </row>
    <row r="76" ht="15">
      <c r="A76" s="552" t="s">
        <v>719</v>
      </c>
    </row>
  </sheetData>
  <sheetProtection/>
  <mergeCells count="43">
    <mergeCell ref="F69:G69"/>
    <mergeCell ref="A70:B70"/>
    <mergeCell ref="A72:C72"/>
    <mergeCell ref="F72:G72"/>
    <mergeCell ref="F73:G73"/>
    <mergeCell ref="A75:B75"/>
    <mergeCell ref="A47:B47"/>
    <mergeCell ref="A49:A50"/>
    <mergeCell ref="B49:G49"/>
    <mergeCell ref="A54:B54"/>
    <mergeCell ref="B56:G56"/>
    <mergeCell ref="A68:C68"/>
    <mergeCell ref="F68:G68"/>
    <mergeCell ref="B33:G33"/>
    <mergeCell ref="B34:G34"/>
    <mergeCell ref="B37:G37"/>
    <mergeCell ref="B38:G38"/>
    <mergeCell ref="B39:G39"/>
    <mergeCell ref="B40:G40"/>
    <mergeCell ref="B26:G26"/>
    <mergeCell ref="B27:G27"/>
    <mergeCell ref="B29:G29"/>
    <mergeCell ref="B30:G30"/>
    <mergeCell ref="B31:G31"/>
    <mergeCell ref="B32:G32"/>
    <mergeCell ref="E18:F18"/>
    <mergeCell ref="B21:G21"/>
    <mergeCell ref="B22:G22"/>
    <mergeCell ref="B23:G23"/>
    <mergeCell ref="B24:G24"/>
    <mergeCell ref="B25:G25"/>
    <mergeCell ref="A11:G11"/>
    <mergeCell ref="D13:F13"/>
    <mergeCell ref="D14:E14"/>
    <mergeCell ref="D15:F15"/>
    <mergeCell ref="D16:E16"/>
    <mergeCell ref="E17:F17"/>
    <mergeCell ref="E1:G2"/>
    <mergeCell ref="E5:G5"/>
    <mergeCell ref="E6:G6"/>
    <mergeCell ref="E7:G7"/>
    <mergeCell ref="E8:G8"/>
    <mergeCell ref="A10:G10"/>
  </mergeCells>
  <printOptions/>
  <pageMargins left="0.1968503937007874" right="0.1968503937007874" top="1.1811023622047245" bottom="0.1968503937007874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G78"/>
  <sheetViews>
    <sheetView zoomScalePageLayoutView="0" workbookViewId="0" topLeftCell="A10">
      <selection activeCell="B36" sqref="B36:G36"/>
    </sheetView>
  </sheetViews>
  <sheetFormatPr defaultColWidth="21.57421875" defaultRowHeight="15"/>
  <cols>
    <col min="1" max="1" width="6.57421875" style="244" customWidth="1"/>
    <col min="2" max="4" width="21.57421875" style="244" customWidth="1"/>
    <col min="5" max="5" width="22.421875" style="244" customWidth="1"/>
    <col min="6" max="7" width="21.57421875" style="244" customWidth="1"/>
    <col min="8" max="29" width="10.28125" style="244" customWidth="1"/>
    <col min="30" max="16384" width="21.57421875" style="244" customWidth="1"/>
  </cols>
  <sheetData>
    <row r="1" spans="1:7" ht="15" customHeight="1">
      <c r="A1" s="243"/>
      <c r="B1" s="243"/>
      <c r="C1" s="243"/>
      <c r="D1" s="243"/>
      <c r="E1" s="517" t="s">
        <v>518</v>
      </c>
      <c r="F1" s="517"/>
      <c r="G1" s="517"/>
    </row>
    <row r="2" spans="1:7" ht="21" customHeight="1">
      <c r="A2" s="243"/>
      <c r="B2" s="243"/>
      <c r="C2" s="243"/>
      <c r="D2" s="243"/>
      <c r="E2" s="517"/>
      <c r="F2" s="517"/>
      <c r="G2" s="517"/>
    </row>
    <row r="3" spans="1:7" ht="17.25" customHeight="1">
      <c r="A3" s="243"/>
      <c r="B3" s="243"/>
      <c r="C3" s="243"/>
      <c r="D3" s="243"/>
      <c r="E3" s="243"/>
      <c r="F3" s="564"/>
      <c r="G3" s="564"/>
    </row>
    <row r="4" spans="1:7" ht="15.75">
      <c r="A4" s="426"/>
      <c r="B4" s="243"/>
      <c r="C4" s="243"/>
      <c r="D4" s="243"/>
      <c r="E4" s="424" t="s">
        <v>166</v>
      </c>
      <c r="F4" s="245"/>
      <c r="G4" s="245"/>
    </row>
    <row r="5" spans="1:7" ht="15.75">
      <c r="A5" s="426"/>
      <c r="B5" s="243"/>
      <c r="C5" s="243"/>
      <c r="D5" s="243"/>
      <c r="E5" s="518" t="s">
        <v>95</v>
      </c>
      <c r="F5" s="518"/>
      <c r="G5" s="518"/>
    </row>
    <row r="6" spans="1:7" ht="15.75">
      <c r="A6" s="426"/>
      <c r="B6" s="426"/>
      <c r="C6" s="243"/>
      <c r="D6" s="243"/>
      <c r="E6" s="519" t="s">
        <v>207</v>
      </c>
      <c r="F6" s="519"/>
      <c r="G6" s="519"/>
    </row>
    <row r="7" spans="1:7" ht="15" customHeight="1">
      <c r="A7" s="426"/>
      <c r="B7" s="243"/>
      <c r="C7" s="243"/>
      <c r="D7" s="243"/>
      <c r="E7" s="520" t="s">
        <v>167</v>
      </c>
      <c r="F7" s="520"/>
      <c r="G7" s="520"/>
    </row>
    <row r="8" spans="1:7" ht="15" customHeight="1">
      <c r="A8" s="426"/>
      <c r="B8" s="243"/>
      <c r="C8" s="243"/>
      <c r="D8" s="243"/>
      <c r="E8" s="521" t="s">
        <v>519</v>
      </c>
      <c r="F8" s="521"/>
      <c r="G8" s="521"/>
    </row>
    <row r="9" spans="1:7" ht="15" customHeight="1">
      <c r="A9" s="426"/>
      <c r="B9" s="243"/>
      <c r="C9" s="243"/>
      <c r="D9" s="243"/>
      <c r="E9" s="428"/>
      <c r="F9" s="428"/>
      <c r="G9" s="428"/>
    </row>
    <row r="10" spans="1:7" ht="15.75">
      <c r="A10" s="522" t="s">
        <v>168</v>
      </c>
      <c r="B10" s="522"/>
      <c r="C10" s="522"/>
      <c r="D10" s="522"/>
      <c r="E10" s="522"/>
      <c r="F10" s="522"/>
      <c r="G10" s="522"/>
    </row>
    <row r="11" spans="1:7" ht="15.75">
      <c r="A11" s="522" t="s">
        <v>315</v>
      </c>
      <c r="B11" s="522"/>
      <c r="C11" s="522"/>
      <c r="D11" s="522"/>
      <c r="E11" s="522"/>
      <c r="F11" s="522"/>
      <c r="G11" s="522"/>
    </row>
    <row r="12" spans="1:7" ht="15.75">
      <c r="A12" s="156"/>
      <c r="B12" s="156"/>
      <c r="C12" s="156"/>
      <c r="D12" s="156"/>
      <c r="E12" s="156"/>
      <c r="F12" s="156"/>
      <c r="G12" s="156"/>
    </row>
    <row r="13" spans="1:7" ht="15" customHeight="1">
      <c r="A13" s="246" t="s">
        <v>304</v>
      </c>
      <c r="B13" s="420" t="s">
        <v>478</v>
      </c>
      <c r="C13" s="210"/>
      <c r="D13" s="456" t="s">
        <v>207</v>
      </c>
      <c r="E13" s="457"/>
      <c r="F13" s="458"/>
      <c r="G13" s="190">
        <v>38068238</v>
      </c>
    </row>
    <row r="14" spans="1:7" ht="22.5" customHeight="1">
      <c r="A14" s="66"/>
      <c r="B14" s="422" t="s">
        <v>308</v>
      </c>
      <c r="C14" s="196"/>
      <c r="D14" s="459" t="s">
        <v>167</v>
      </c>
      <c r="E14" s="459"/>
      <c r="F14" s="212"/>
      <c r="G14" s="192" t="s">
        <v>305</v>
      </c>
    </row>
    <row r="15" spans="1:7" ht="15" customHeight="1">
      <c r="A15" s="247" t="s">
        <v>306</v>
      </c>
      <c r="B15" s="420" t="s">
        <v>479</v>
      </c>
      <c r="C15" s="211"/>
      <c r="D15" s="460" t="s">
        <v>207</v>
      </c>
      <c r="E15" s="461"/>
      <c r="F15" s="462"/>
      <c r="G15" s="193">
        <v>38068238</v>
      </c>
    </row>
    <row r="16" spans="1:7" ht="33" customHeight="1">
      <c r="A16" s="213"/>
      <c r="B16" s="422" t="s">
        <v>308</v>
      </c>
      <c r="C16" s="196"/>
      <c r="D16" s="463" t="s">
        <v>205</v>
      </c>
      <c r="E16" s="463"/>
      <c r="F16" s="212"/>
      <c r="G16" s="192" t="s">
        <v>305</v>
      </c>
    </row>
    <row r="17" spans="1:7" ht="26.25" customHeight="1">
      <c r="A17" s="248" t="s">
        <v>307</v>
      </c>
      <c r="B17" s="249" t="s">
        <v>798</v>
      </c>
      <c r="C17" s="427">
        <v>6011</v>
      </c>
      <c r="D17" s="249" t="s">
        <v>148</v>
      </c>
      <c r="E17" s="523" t="s">
        <v>797</v>
      </c>
      <c r="F17" s="523"/>
      <c r="G17" s="249" t="s">
        <v>477</v>
      </c>
    </row>
    <row r="18" spans="1:7" ht="46.5" customHeight="1">
      <c r="A18" s="243"/>
      <c r="B18" s="250" t="s">
        <v>308</v>
      </c>
      <c r="C18" s="429" t="s">
        <v>309</v>
      </c>
      <c r="D18" s="429" t="s">
        <v>310</v>
      </c>
      <c r="E18" s="524" t="s">
        <v>311</v>
      </c>
      <c r="F18" s="524"/>
      <c r="G18" s="429" t="s">
        <v>312</v>
      </c>
    </row>
    <row r="19" spans="1:7" ht="20.25" customHeight="1">
      <c r="A19" s="426" t="s">
        <v>172</v>
      </c>
      <c r="B19" s="251" t="s">
        <v>522</v>
      </c>
      <c r="C19" s="251"/>
      <c r="D19" s="9"/>
      <c r="E19" s="252">
        <f>SUM(C20+F20)</f>
        <v>2423869</v>
      </c>
      <c r="F19" s="9" t="s">
        <v>523</v>
      </c>
      <c r="G19" s="9"/>
    </row>
    <row r="20" spans="1:7" ht="18.75" customHeight="1">
      <c r="A20" s="426"/>
      <c r="B20" s="9" t="s">
        <v>524</v>
      </c>
      <c r="C20" s="252">
        <f>SUM(C49)</f>
        <v>2423869</v>
      </c>
      <c r="D20" s="9" t="s">
        <v>525</v>
      </c>
      <c r="E20" s="253" t="s">
        <v>526</v>
      </c>
      <c r="F20" s="252">
        <f>SUM(D49)</f>
        <v>0</v>
      </c>
      <c r="G20" s="9" t="s">
        <v>527</v>
      </c>
    </row>
    <row r="21" spans="1:7" ht="15.75">
      <c r="A21" s="426" t="s">
        <v>9</v>
      </c>
      <c r="B21" s="518" t="s">
        <v>528</v>
      </c>
      <c r="C21" s="518"/>
      <c r="D21" s="518"/>
      <c r="E21" s="518"/>
      <c r="F21" s="518"/>
      <c r="G21" s="518"/>
    </row>
    <row r="22" spans="1:7" ht="15.75">
      <c r="A22" s="426"/>
      <c r="B22" s="436" t="s">
        <v>529</v>
      </c>
      <c r="C22" s="436"/>
      <c r="D22" s="436"/>
      <c r="E22" s="436"/>
      <c r="F22" s="436"/>
      <c r="G22" s="436"/>
    </row>
    <row r="23" spans="1:7" ht="15.75">
      <c r="A23" s="426"/>
      <c r="B23" s="436" t="s">
        <v>530</v>
      </c>
      <c r="C23" s="436"/>
      <c r="D23" s="436"/>
      <c r="E23" s="436"/>
      <c r="F23" s="436"/>
      <c r="G23" s="436"/>
    </row>
    <row r="24" spans="1:7" ht="15.75">
      <c r="A24" s="426"/>
      <c r="B24" s="436" t="s">
        <v>531</v>
      </c>
      <c r="C24" s="436"/>
      <c r="D24" s="436"/>
      <c r="E24" s="436"/>
      <c r="F24" s="436"/>
      <c r="G24" s="436"/>
    </row>
    <row r="25" spans="1:7" ht="33.75" customHeight="1">
      <c r="A25" s="426"/>
      <c r="B25" s="436" t="s">
        <v>532</v>
      </c>
      <c r="C25" s="436"/>
      <c r="D25" s="436"/>
      <c r="E25" s="436"/>
      <c r="F25" s="436"/>
      <c r="G25" s="436"/>
    </row>
    <row r="26" spans="1:7" ht="31.5" customHeight="1">
      <c r="A26" s="426"/>
      <c r="B26" s="450" t="s">
        <v>713</v>
      </c>
      <c r="C26" s="450"/>
      <c r="D26" s="450"/>
      <c r="E26" s="450"/>
      <c r="F26" s="450"/>
      <c r="G26" s="450"/>
    </row>
    <row r="27" spans="1:7" ht="33" customHeight="1">
      <c r="A27" s="426"/>
      <c r="B27" s="450" t="s">
        <v>734</v>
      </c>
      <c r="C27" s="450"/>
      <c r="D27" s="450"/>
      <c r="E27" s="450"/>
      <c r="F27" s="450"/>
      <c r="G27" s="450"/>
    </row>
    <row r="28" spans="1:7" ht="42.75" customHeight="1">
      <c r="A28" s="426"/>
      <c r="B28" s="450" t="s">
        <v>733</v>
      </c>
      <c r="C28" s="450"/>
      <c r="D28" s="450"/>
      <c r="E28" s="450"/>
      <c r="F28" s="450"/>
      <c r="G28" s="450"/>
    </row>
    <row r="29" spans="1:7" ht="16.5" customHeight="1">
      <c r="A29" s="426"/>
      <c r="B29" s="9"/>
      <c r="C29" s="9"/>
      <c r="D29" s="9"/>
      <c r="E29" s="9"/>
      <c r="F29" s="9"/>
      <c r="G29" s="9"/>
    </row>
    <row r="30" spans="1:7" ht="15.75">
      <c r="A30" s="426" t="s">
        <v>10</v>
      </c>
      <c r="B30" s="518" t="s">
        <v>41</v>
      </c>
      <c r="C30" s="518"/>
      <c r="D30" s="518"/>
      <c r="E30" s="518"/>
      <c r="F30" s="518"/>
      <c r="G30" s="518"/>
    </row>
    <row r="31" spans="1:7" ht="15.75">
      <c r="A31" s="425" t="s">
        <v>13</v>
      </c>
      <c r="B31" s="525" t="s">
        <v>234</v>
      </c>
      <c r="C31" s="525"/>
      <c r="D31" s="525"/>
      <c r="E31" s="525"/>
      <c r="F31" s="525"/>
      <c r="G31" s="525"/>
    </row>
    <row r="32" spans="1:7" ht="32.25" customHeight="1">
      <c r="A32" s="6">
        <v>1</v>
      </c>
      <c r="B32" s="502" t="s">
        <v>796</v>
      </c>
      <c r="C32" s="502"/>
      <c r="D32" s="502"/>
      <c r="E32" s="502"/>
      <c r="F32" s="502"/>
      <c r="G32" s="502"/>
    </row>
    <row r="33" spans="1:7" ht="32.25" customHeight="1">
      <c r="A33" s="6">
        <v>2</v>
      </c>
      <c r="B33" s="502" t="s">
        <v>795</v>
      </c>
      <c r="C33" s="502"/>
      <c r="D33" s="502"/>
      <c r="E33" s="502"/>
      <c r="F33" s="502"/>
      <c r="G33" s="502"/>
    </row>
    <row r="34" spans="1:7" ht="32.25" customHeight="1">
      <c r="A34" s="6">
        <v>3</v>
      </c>
      <c r="B34" s="502" t="s">
        <v>794</v>
      </c>
      <c r="C34" s="502"/>
      <c r="D34" s="502"/>
      <c r="E34" s="502"/>
      <c r="F34" s="502"/>
      <c r="G34" s="502"/>
    </row>
    <row r="35" spans="1:7" ht="32.25" customHeight="1">
      <c r="A35" s="6">
        <v>4</v>
      </c>
      <c r="B35" s="502" t="s">
        <v>793</v>
      </c>
      <c r="C35" s="502"/>
      <c r="D35" s="502"/>
      <c r="E35" s="502"/>
      <c r="F35" s="502"/>
      <c r="G35" s="502"/>
    </row>
    <row r="36" spans="1:7" ht="45" customHeight="1">
      <c r="A36" s="6">
        <v>5</v>
      </c>
      <c r="B36" s="502" t="s">
        <v>792</v>
      </c>
      <c r="C36" s="502"/>
      <c r="D36" s="502"/>
      <c r="E36" s="502"/>
      <c r="F36" s="502"/>
      <c r="G36" s="502"/>
    </row>
    <row r="37" ht="15.75">
      <c r="A37" s="254"/>
    </row>
    <row r="38" spans="1:2" ht="15.75">
      <c r="A38" s="256" t="s">
        <v>11</v>
      </c>
      <c r="B38" s="244" t="s">
        <v>533</v>
      </c>
    </row>
    <row r="39" spans="1:7" ht="33" customHeight="1">
      <c r="A39" s="256"/>
      <c r="B39" s="526" t="s">
        <v>791</v>
      </c>
      <c r="C39" s="526"/>
      <c r="D39" s="526"/>
      <c r="E39" s="526"/>
      <c r="F39" s="526"/>
      <c r="G39" s="526"/>
    </row>
    <row r="40" spans="1:7" ht="15.75">
      <c r="A40" s="426" t="s">
        <v>15</v>
      </c>
      <c r="B40" s="518" t="s">
        <v>535</v>
      </c>
      <c r="C40" s="518"/>
      <c r="D40" s="518"/>
      <c r="E40" s="518"/>
      <c r="F40" s="518"/>
      <c r="G40" s="518"/>
    </row>
    <row r="41" spans="1:7" ht="15.75">
      <c r="A41" s="425" t="s">
        <v>13</v>
      </c>
      <c r="B41" s="525" t="s">
        <v>14</v>
      </c>
      <c r="C41" s="525"/>
      <c r="D41" s="525"/>
      <c r="E41" s="525"/>
      <c r="F41" s="525"/>
      <c r="G41" s="525"/>
    </row>
    <row r="42" spans="1:7" ht="15.75">
      <c r="A42" s="425">
        <v>1</v>
      </c>
      <c r="B42" s="565" t="s">
        <v>790</v>
      </c>
      <c r="C42" s="565"/>
      <c r="D42" s="565"/>
      <c r="E42" s="565"/>
      <c r="F42" s="565"/>
      <c r="G42" s="565"/>
    </row>
    <row r="43" spans="1:7" ht="15.75">
      <c r="A43" s="426"/>
      <c r="B43" s="424"/>
      <c r="C43" s="424"/>
      <c r="D43" s="424"/>
      <c r="E43" s="424"/>
      <c r="F43" s="424"/>
      <c r="G43" s="424"/>
    </row>
    <row r="44" spans="1:7" ht="15.75">
      <c r="A44" s="426" t="s">
        <v>22</v>
      </c>
      <c r="B44" s="257" t="s">
        <v>18</v>
      </c>
      <c r="C44" s="424"/>
      <c r="D44" s="424"/>
      <c r="E44" s="424"/>
      <c r="F44" s="424"/>
      <c r="G44" s="424"/>
    </row>
    <row r="45" spans="1:2" ht="15.75">
      <c r="A45" s="254"/>
      <c r="B45" s="244" t="s">
        <v>537</v>
      </c>
    </row>
    <row r="46" spans="1:5" ht="47.25">
      <c r="A46" s="425" t="s">
        <v>13</v>
      </c>
      <c r="B46" s="425" t="s">
        <v>18</v>
      </c>
      <c r="C46" s="425" t="s">
        <v>19</v>
      </c>
      <c r="D46" s="425" t="s">
        <v>20</v>
      </c>
      <c r="E46" s="425" t="s">
        <v>21</v>
      </c>
    </row>
    <row r="47" spans="1:5" ht="15.75">
      <c r="A47" s="425">
        <v>1</v>
      </c>
      <c r="B47" s="425">
        <v>2</v>
      </c>
      <c r="C47" s="425">
        <v>3</v>
      </c>
      <c r="D47" s="425">
        <v>4</v>
      </c>
      <c r="E47" s="425">
        <v>5</v>
      </c>
    </row>
    <row r="48" spans="1:5" ht="67.5" customHeight="1">
      <c r="A48" s="425">
        <v>1</v>
      </c>
      <c r="B48" s="258" t="s">
        <v>789</v>
      </c>
      <c r="C48" s="259">
        <v>2423869</v>
      </c>
      <c r="D48" s="259"/>
      <c r="E48" s="259">
        <f>SUM(C48:D48)</f>
        <v>2423869</v>
      </c>
    </row>
    <row r="49" spans="1:5" ht="15.75">
      <c r="A49" s="525" t="s">
        <v>21</v>
      </c>
      <c r="B49" s="525"/>
      <c r="C49" s="259">
        <f>SUM(C48)</f>
        <v>2423869</v>
      </c>
      <c r="D49" s="259">
        <f>SUM(D48)</f>
        <v>0</v>
      </c>
      <c r="E49" s="259">
        <f>SUM(E48)</f>
        <v>2423869</v>
      </c>
    </row>
    <row r="50" ht="15.75">
      <c r="A50" s="254"/>
    </row>
    <row r="51" spans="1:7" ht="15.75">
      <c r="A51" s="530" t="s">
        <v>194</v>
      </c>
      <c r="B51" s="518" t="s">
        <v>23</v>
      </c>
      <c r="C51" s="518"/>
      <c r="D51" s="518"/>
      <c r="E51" s="518"/>
      <c r="F51" s="518"/>
      <c r="G51" s="518"/>
    </row>
    <row r="52" spans="1:2" ht="15.75">
      <c r="A52" s="530"/>
      <c r="B52" s="260" t="s">
        <v>17</v>
      </c>
    </row>
    <row r="53" spans="1:5" ht="63">
      <c r="A53" s="425" t="s">
        <v>13</v>
      </c>
      <c r="B53" s="425" t="s">
        <v>193</v>
      </c>
      <c r="C53" s="425" t="s">
        <v>19</v>
      </c>
      <c r="D53" s="425" t="s">
        <v>20</v>
      </c>
      <c r="E53" s="425" t="s">
        <v>21</v>
      </c>
    </row>
    <row r="54" spans="1:5" ht="15.75">
      <c r="A54" s="425">
        <v>1</v>
      </c>
      <c r="B54" s="425">
        <v>2</v>
      </c>
      <c r="C54" s="425">
        <v>3</v>
      </c>
      <c r="D54" s="425">
        <v>4</v>
      </c>
      <c r="E54" s="425">
        <v>5</v>
      </c>
    </row>
    <row r="55" spans="1:5" ht="127.5" customHeight="1">
      <c r="A55" s="425">
        <v>1</v>
      </c>
      <c r="B55" s="415" t="s">
        <v>574</v>
      </c>
      <c r="C55" s="259">
        <f>SUM(C48)</f>
        <v>2423869</v>
      </c>
      <c r="D55" s="259">
        <f>SUM(D48)</f>
        <v>0</v>
      </c>
      <c r="E55" s="259">
        <f>SUM(C55:D55)</f>
        <v>2423869</v>
      </c>
    </row>
    <row r="56" spans="1:5" ht="15.75">
      <c r="A56" s="525" t="s">
        <v>21</v>
      </c>
      <c r="B56" s="525"/>
      <c r="C56" s="259">
        <f>SUM(C55)</f>
        <v>2423869</v>
      </c>
      <c r="D56" s="259">
        <f>SUM(D55)</f>
        <v>0</v>
      </c>
      <c r="E56" s="259">
        <f>SUM(E55)</f>
        <v>2423869</v>
      </c>
    </row>
    <row r="57" ht="15.75">
      <c r="A57" s="254"/>
    </row>
    <row r="58" spans="1:7" ht="15.75">
      <c r="A58" s="426" t="s">
        <v>47</v>
      </c>
      <c r="B58" s="518" t="s">
        <v>195</v>
      </c>
      <c r="C58" s="518"/>
      <c r="D58" s="518"/>
      <c r="E58" s="518"/>
      <c r="F58" s="518"/>
      <c r="G58" s="518"/>
    </row>
    <row r="59" spans="1:7" ht="46.5" customHeight="1">
      <c r="A59" s="425" t="s">
        <v>13</v>
      </c>
      <c r="B59" s="425" t="s">
        <v>196</v>
      </c>
      <c r="C59" s="425" t="s">
        <v>197</v>
      </c>
      <c r="D59" s="425" t="s">
        <v>198</v>
      </c>
      <c r="E59" s="425" t="s">
        <v>19</v>
      </c>
      <c r="F59" s="425" t="s">
        <v>20</v>
      </c>
      <c r="G59" s="425" t="s">
        <v>21</v>
      </c>
    </row>
    <row r="60" spans="1:7" ht="15.75">
      <c r="A60" s="425">
        <v>1</v>
      </c>
      <c r="B60" s="425">
        <v>2</v>
      </c>
      <c r="C60" s="425">
        <v>3</v>
      </c>
      <c r="D60" s="425">
        <v>4</v>
      </c>
      <c r="E60" s="425">
        <v>5</v>
      </c>
      <c r="F60" s="425">
        <v>6</v>
      </c>
      <c r="G60" s="425">
        <v>7</v>
      </c>
    </row>
    <row r="61" spans="1:7" ht="15.75">
      <c r="A61" s="6">
        <v>1</v>
      </c>
      <c r="B61" s="7" t="s">
        <v>199</v>
      </c>
      <c r="C61" s="6"/>
      <c r="D61" s="6"/>
      <c r="E61" s="425"/>
      <c r="F61" s="425"/>
      <c r="G61" s="425"/>
    </row>
    <row r="62" spans="1:7" ht="15.75">
      <c r="A62" s="6"/>
      <c r="B62" s="7" t="s">
        <v>57</v>
      </c>
      <c r="C62" s="6" t="s">
        <v>537</v>
      </c>
      <c r="D62" s="6" t="s">
        <v>61</v>
      </c>
      <c r="E62" s="259">
        <f>SUM(C55)</f>
        <v>2423869</v>
      </c>
      <c r="F62" s="259">
        <f>SUM(D55)</f>
        <v>0</v>
      </c>
      <c r="G62" s="259">
        <f>SUM(E62:F62)</f>
        <v>2423869</v>
      </c>
    </row>
    <row r="63" spans="1:7" ht="15.75">
      <c r="A63" s="6">
        <v>2</v>
      </c>
      <c r="B63" s="7" t="s">
        <v>200</v>
      </c>
      <c r="C63" s="6"/>
      <c r="D63" s="6"/>
      <c r="E63" s="425"/>
      <c r="F63" s="425"/>
      <c r="G63" s="425"/>
    </row>
    <row r="64" spans="1:7" ht="62.25" customHeight="1">
      <c r="A64" s="7"/>
      <c r="B64" s="7" t="s">
        <v>788</v>
      </c>
      <c r="C64" s="6" t="s">
        <v>251</v>
      </c>
      <c r="D64" s="6" t="s">
        <v>70</v>
      </c>
      <c r="E64" s="425">
        <v>28</v>
      </c>
      <c r="F64" s="425"/>
      <c r="G64" s="425">
        <f>SUM(E64:F64)</f>
        <v>28</v>
      </c>
    </row>
    <row r="65" spans="1:7" ht="15.75">
      <c r="A65" s="6">
        <v>3</v>
      </c>
      <c r="B65" s="7" t="s">
        <v>201</v>
      </c>
      <c r="C65" s="6"/>
      <c r="D65" s="6"/>
      <c r="E65" s="425"/>
      <c r="F65" s="425"/>
      <c r="G65" s="425"/>
    </row>
    <row r="66" spans="1:7" ht="47.25">
      <c r="A66" s="6"/>
      <c r="B66" s="7" t="s">
        <v>787</v>
      </c>
      <c r="C66" s="6" t="s">
        <v>537</v>
      </c>
      <c r="D66" s="6" t="s">
        <v>70</v>
      </c>
      <c r="E66" s="259">
        <f>SUM(E62/E64)</f>
        <v>86566.75</v>
      </c>
      <c r="F66" s="259"/>
      <c r="G66" s="259">
        <f>SUM(E66:F66)</f>
        <v>86566.75</v>
      </c>
    </row>
    <row r="67" spans="1:7" ht="15.75">
      <c r="A67" s="6">
        <v>4</v>
      </c>
      <c r="B67" s="7" t="s">
        <v>202</v>
      </c>
      <c r="C67" s="6"/>
      <c r="D67" s="6"/>
      <c r="E67" s="425"/>
      <c r="F67" s="425"/>
      <c r="G67" s="425"/>
    </row>
    <row r="68" spans="1:7" ht="63">
      <c r="A68" s="6"/>
      <c r="B68" s="7" t="s">
        <v>542</v>
      </c>
      <c r="C68" s="6" t="s">
        <v>71</v>
      </c>
      <c r="D68" s="6" t="s">
        <v>70</v>
      </c>
      <c r="E68" s="425">
        <v>100</v>
      </c>
      <c r="F68" s="425"/>
      <c r="G68" s="425">
        <f>SUM(E68:F68)</f>
        <v>100</v>
      </c>
    </row>
    <row r="69" ht="15.75">
      <c r="A69" s="254"/>
    </row>
    <row r="70" spans="1:7" ht="15.75">
      <c r="A70" s="560" t="s">
        <v>73</v>
      </c>
      <c r="B70" s="560"/>
      <c r="C70" s="560"/>
      <c r="D70" s="559"/>
      <c r="E70" s="558"/>
      <c r="F70" s="557" t="s">
        <v>74</v>
      </c>
      <c r="G70" s="557"/>
    </row>
    <row r="71" spans="1:7" ht="15.75">
      <c r="A71" s="561"/>
      <c r="B71" s="426"/>
      <c r="D71" s="555" t="s">
        <v>203</v>
      </c>
      <c r="F71" s="556" t="s">
        <v>720</v>
      </c>
      <c r="G71" s="556"/>
    </row>
    <row r="72" spans="1:4" ht="15.75">
      <c r="A72" s="518" t="s">
        <v>204</v>
      </c>
      <c r="B72" s="518"/>
      <c r="C72" s="426"/>
      <c r="D72" s="426"/>
    </row>
    <row r="73" spans="1:4" ht="15.75">
      <c r="A73" s="257" t="s">
        <v>722</v>
      </c>
      <c r="B73" s="424"/>
      <c r="C73" s="426"/>
      <c r="D73" s="426"/>
    </row>
    <row r="74" spans="1:7" ht="15.75">
      <c r="A74" s="560" t="s">
        <v>721</v>
      </c>
      <c r="B74" s="560"/>
      <c r="C74" s="560"/>
      <c r="D74" s="559"/>
      <c r="E74" s="558"/>
      <c r="F74" s="557" t="s">
        <v>76</v>
      </c>
      <c r="G74" s="557"/>
    </row>
    <row r="75" spans="1:7" ht="15.75">
      <c r="A75" s="260"/>
      <c r="B75" s="426"/>
      <c r="C75" s="426"/>
      <c r="D75" s="555" t="s">
        <v>203</v>
      </c>
      <c r="F75" s="556" t="s">
        <v>720</v>
      </c>
      <c r="G75" s="556"/>
    </row>
    <row r="76" spans="1:7" ht="15.75">
      <c r="A76" s="260"/>
      <c r="B76" s="426"/>
      <c r="C76" s="426"/>
      <c r="D76" s="555"/>
      <c r="F76" s="554"/>
      <c r="G76" s="554"/>
    </row>
    <row r="77" spans="1:2" ht="15">
      <c r="A77" s="553" t="s">
        <v>162</v>
      </c>
      <c r="B77" s="553"/>
    </row>
    <row r="78" ht="15">
      <c r="A78" s="552" t="s">
        <v>719</v>
      </c>
    </row>
  </sheetData>
  <sheetProtection/>
  <mergeCells count="45">
    <mergeCell ref="F75:G75"/>
    <mergeCell ref="A77:B77"/>
    <mergeCell ref="B58:G58"/>
    <mergeCell ref="A70:C70"/>
    <mergeCell ref="F70:G70"/>
    <mergeCell ref="F71:G71"/>
    <mergeCell ref="A72:B72"/>
    <mergeCell ref="A74:C74"/>
    <mergeCell ref="F74:G74"/>
    <mergeCell ref="B41:G41"/>
    <mergeCell ref="B42:G42"/>
    <mergeCell ref="A49:B49"/>
    <mergeCell ref="A51:A52"/>
    <mergeCell ref="B51:G51"/>
    <mergeCell ref="A56:B56"/>
    <mergeCell ref="B33:G33"/>
    <mergeCell ref="B34:G34"/>
    <mergeCell ref="B35:G35"/>
    <mergeCell ref="B36:G36"/>
    <mergeCell ref="B39:G39"/>
    <mergeCell ref="B40:G40"/>
    <mergeCell ref="B26:G26"/>
    <mergeCell ref="B27:G27"/>
    <mergeCell ref="B28:G28"/>
    <mergeCell ref="B30:G30"/>
    <mergeCell ref="B31:G31"/>
    <mergeCell ref="B32:G32"/>
    <mergeCell ref="E18:F18"/>
    <mergeCell ref="B21:G21"/>
    <mergeCell ref="B22:G22"/>
    <mergeCell ref="B23:G23"/>
    <mergeCell ref="B24:G24"/>
    <mergeCell ref="B25:G25"/>
    <mergeCell ref="A11:G11"/>
    <mergeCell ref="D13:F13"/>
    <mergeCell ref="D14:E14"/>
    <mergeCell ref="D15:F15"/>
    <mergeCell ref="D16:E16"/>
    <mergeCell ref="E17:F17"/>
    <mergeCell ref="E1:G2"/>
    <mergeCell ref="E5:G5"/>
    <mergeCell ref="E6:G6"/>
    <mergeCell ref="E7:G7"/>
    <mergeCell ref="E8:G8"/>
    <mergeCell ref="A10:G10"/>
  </mergeCells>
  <printOptions/>
  <pageMargins left="0.1968503937007874" right="0.1968503937007874" top="1.1811023622047245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228"/>
  <sheetViews>
    <sheetView zoomScalePageLayoutView="0" workbookViewId="0" topLeftCell="A131">
      <selection activeCell="B142" sqref="B142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16384" width="21.57421875" style="4" customWidth="1"/>
  </cols>
  <sheetData>
    <row r="1" spans="5:7" ht="77.25" customHeight="1">
      <c r="E1" s="484" t="s">
        <v>102</v>
      </c>
      <c r="F1" s="471"/>
      <c r="G1" s="471"/>
    </row>
    <row r="2" spans="1:5" ht="15.75">
      <c r="A2" s="1"/>
      <c r="E2" s="1"/>
    </row>
    <row r="3" spans="1:5" ht="15.75">
      <c r="A3" s="1"/>
      <c r="E3" s="1" t="s">
        <v>166</v>
      </c>
    </row>
    <row r="4" spans="1:7" ht="15.75" customHeight="1">
      <c r="A4" s="1"/>
      <c r="E4" s="468" t="s">
        <v>208</v>
      </c>
      <c r="F4" s="468"/>
      <c r="G4" s="468"/>
    </row>
    <row r="5" spans="1:7" ht="15.75">
      <c r="A5" s="1"/>
      <c r="B5" s="1"/>
      <c r="E5" s="485" t="s">
        <v>207</v>
      </c>
      <c r="F5" s="485"/>
      <c r="G5" s="485"/>
    </row>
    <row r="6" spans="1:7" ht="15" customHeight="1">
      <c r="A6" s="1"/>
      <c r="E6" s="486" t="s">
        <v>167</v>
      </c>
      <c r="F6" s="486"/>
      <c r="G6" s="486"/>
    </row>
    <row r="7" spans="5:7" ht="15">
      <c r="E7" s="436" t="s">
        <v>94</v>
      </c>
      <c r="F7" s="467"/>
      <c r="G7" s="467"/>
    </row>
    <row r="9" spans="1:7" ht="15.75">
      <c r="A9" s="455" t="s">
        <v>168</v>
      </c>
      <c r="B9" s="455"/>
      <c r="C9" s="455"/>
      <c r="D9" s="455"/>
      <c r="E9" s="455"/>
      <c r="F9" s="455"/>
      <c r="G9" s="455"/>
    </row>
    <row r="10" spans="1:7" ht="15.75">
      <c r="A10" s="455" t="s">
        <v>315</v>
      </c>
      <c r="B10" s="455"/>
      <c r="C10" s="455"/>
      <c r="D10" s="455"/>
      <c r="E10" s="455"/>
      <c r="F10" s="455"/>
      <c r="G10" s="455"/>
    </row>
    <row r="12" spans="1:7" ht="15" customHeight="1">
      <c r="A12" s="214" t="s">
        <v>304</v>
      </c>
      <c r="B12" s="402" t="s">
        <v>478</v>
      </c>
      <c r="C12" s="210"/>
      <c r="D12" s="456" t="s">
        <v>207</v>
      </c>
      <c r="E12" s="457"/>
      <c r="F12" s="458"/>
      <c r="G12" s="190">
        <v>38068238</v>
      </c>
    </row>
    <row r="13" spans="2:7" ht="36.75" customHeight="1">
      <c r="B13" s="401" t="s">
        <v>308</v>
      </c>
      <c r="C13" s="196"/>
      <c r="D13" s="459" t="s">
        <v>167</v>
      </c>
      <c r="E13" s="459"/>
      <c r="F13" s="212"/>
      <c r="G13" s="192" t="s">
        <v>305</v>
      </c>
    </row>
    <row r="14" spans="1:7" ht="15" customHeight="1">
      <c r="A14" s="213" t="s">
        <v>306</v>
      </c>
      <c r="B14" s="402" t="s">
        <v>479</v>
      </c>
      <c r="C14" s="211"/>
      <c r="D14" s="460" t="s">
        <v>207</v>
      </c>
      <c r="E14" s="461"/>
      <c r="F14" s="462"/>
      <c r="G14" s="193">
        <v>38068238</v>
      </c>
    </row>
    <row r="15" spans="1:7" ht="45" customHeight="1">
      <c r="A15" s="213"/>
      <c r="B15" s="401" t="s">
        <v>308</v>
      </c>
      <c r="C15" s="196"/>
      <c r="D15" s="463" t="s">
        <v>205</v>
      </c>
      <c r="E15" s="463"/>
      <c r="F15" s="212"/>
      <c r="G15" s="192" t="s">
        <v>305</v>
      </c>
    </row>
    <row r="16" spans="1:7" ht="55.5" customHeight="1">
      <c r="A16" s="194" t="s">
        <v>307</v>
      </c>
      <c r="B16" s="402" t="s">
        <v>413</v>
      </c>
      <c r="C16" s="402" t="s">
        <v>414</v>
      </c>
      <c r="D16" s="402" t="s">
        <v>77</v>
      </c>
      <c r="E16" s="464" t="s">
        <v>415</v>
      </c>
      <c r="F16" s="465"/>
      <c r="G16" s="402" t="s">
        <v>477</v>
      </c>
    </row>
    <row r="17" spans="1:7" ht="53.25" customHeight="1">
      <c r="A17" s="195"/>
      <c r="B17" s="196" t="s">
        <v>308</v>
      </c>
      <c r="C17" s="401" t="s">
        <v>309</v>
      </c>
      <c r="D17" s="191" t="s">
        <v>310</v>
      </c>
      <c r="E17" s="454" t="s">
        <v>311</v>
      </c>
      <c r="F17" s="454"/>
      <c r="G17" s="401" t="s">
        <v>312</v>
      </c>
    </row>
    <row r="18" spans="1:7" ht="51" customHeight="1">
      <c r="A18" s="2" t="s">
        <v>172</v>
      </c>
      <c r="B18" s="9" t="s">
        <v>210</v>
      </c>
      <c r="C18" s="95">
        <f>E18+G18</f>
        <v>15491271</v>
      </c>
      <c r="D18" s="9" t="s">
        <v>43</v>
      </c>
      <c r="E18" s="95">
        <f>3040900+258048+1206321+22500+672000+422000+37072+18200+50000+324718+121140+194580+30999+269976-365800-181380+292484.87-43173</f>
        <v>6370585.87</v>
      </c>
      <c r="F18" s="9" t="s">
        <v>44</v>
      </c>
      <c r="G18" s="95">
        <f>7477700+384970+324718-324718+33720+365800+70980+787515.13</f>
        <v>9120685.13</v>
      </c>
    </row>
    <row r="19" spans="1:7" ht="15.75">
      <c r="A19" s="2" t="s">
        <v>9</v>
      </c>
      <c r="B19" s="436" t="s">
        <v>209</v>
      </c>
      <c r="C19" s="436"/>
      <c r="D19" s="436"/>
      <c r="E19" s="436"/>
      <c r="F19" s="436"/>
      <c r="G19" s="436"/>
    </row>
    <row r="20" spans="1:7" ht="21" customHeight="1">
      <c r="A20" s="2"/>
      <c r="B20" s="436" t="s">
        <v>211</v>
      </c>
      <c r="C20" s="436"/>
      <c r="D20" s="436"/>
      <c r="E20" s="436"/>
      <c r="F20" s="436"/>
      <c r="G20" s="436"/>
    </row>
    <row r="21" spans="1:7" ht="18.75" customHeight="1">
      <c r="A21" s="2"/>
      <c r="B21" s="436" t="s">
        <v>213</v>
      </c>
      <c r="C21" s="436"/>
      <c r="D21" s="436"/>
      <c r="E21" s="436"/>
      <c r="F21" s="436"/>
      <c r="G21" s="436"/>
    </row>
    <row r="22" spans="1:7" ht="18.75" customHeight="1">
      <c r="A22" s="2"/>
      <c r="B22" s="436" t="s">
        <v>316</v>
      </c>
      <c r="C22" s="436"/>
      <c r="D22" s="436"/>
      <c r="E22" s="436"/>
      <c r="F22" s="436"/>
      <c r="G22" s="436"/>
    </row>
    <row r="23" spans="1:7" ht="29.25" customHeight="1">
      <c r="A23" s="2"/>
      <c r="B23" s="436" t="s">
        <v>300</v>
      </c>
      <c r="C23" s="436"/>
      <c r="D23" s="436"/>
      <c r="E23" s="436"/>
      <c r="F23" s="436"/>
      <c r="G23" s="436"/>
    </row>
    <row r="24" spans="1:7" ht="36.75" customHeight="1">
      <c r="A24" s="2"/>
      <c r="B24" s="436" t="s">
        <v>144</v>
      </c>
      <c r="C24" s="436"/>
      <c r="D24" s="436"/>
      <c r="E24" s="436"/>
      <c r="F24" s="436"/>
      <c r="G24" s="436"/>
    </row>
    <row r="25" spans="1:7" ht="21" customHeight="1">
      <c r="A25" s="2"/>
      <c r="B25" s="450" t="s">
        <v>481</v>
      </c>
      <c r="C25" s="450"/>
      <c r="D25" s="450"/>
      <c r="E25" s="450"/>
      <c r="F25" s="450"/>
      <c r="G25" s="450"/>
    </row>
    <row r="26" spans="1:7" ht="33.75" customHeight="1">
      <c r="A26" s="2"/>
      <c r="B26" s="450" t="s">
        <v>482</v>
      </c>
      <c r="C26" s="450"/>
      <c r="D26" s="450"/>
      <c r="E26" s="450"/>
      <c r="F26" s="450"/>
      <c r="G26" s="450"/>
    </row>
    <row r="27" spans="1:7" ht="33.75" customHeight="1">
      <c r="A27" s="2"/>
      <c r="B27" s="450" t="s">
        <v>483</v>
      </c>
      <c r="C27" s="450"/>
      <c r="D27" s="450"/>
      <c r="E27" s="450"/>
      <c r="F27" s="450"/>
      <c r="G27" s="450"/>
    </row>
    <row r="28" spans="1:7" ht="11.25" customHeight="1">
      <c r="A28" s="2"/>
      <c r="B28" s="9"/>
      <c r="C28" s="9"/>
      <c r="D28" s="9"/>
      <c r="E28" s="9"/>
      <c r="F28" s="9"/>
      <c r="G28" s="9"/>
    </row>
    <row r="29" spans="1:7" ht="23.25" customHeight="1">
      <c r="A29" s="2" t="s">
        <v>10</v>
      </c>
      <c r="B29" s="436" t="s">
        <v>41</v>
      </c>
      <c r="C29" s="436"/>
      <c r="D29" s="436"/>
      <c r="E29" s="436"/>
      <c r="F29" s="436"/>
      <c r="G29" s="436"/>
    </row>
    <row r="30" spans="1:7" ht="21" customHeight="1">
      <c r="A30" s="6" t="s">
        <v>233</v>
      </c>
      <c r="B30" s="451" t="s">
        <v>234</v>
      </c>
      <c r="C30" s="452"/>
      <c r="D30" s="452"/>
      <c r="E30" s="452"/>
      <c r="F30" s="452"/>
      <c r="G30" s="453"/>
    </row>
    <row r="31" spans="1:7" ht="34.5" customHeight="1">
      <c r="A31" s="6">
        <v>1</v>
      </c>
      <c r="B31" s="445" t="s">
        <v>98</v>
      </c>
      <c r="C31" s="446"/>
      <c r="D31" s="446"/>
      <c r="E31" s="446"/>
      <c r="F31" s="446"/>
      <c r="G31" s="447"/>
    </row>
    <row r="32" spans="1:7" ht="23.25" customHeight="1" hidden="1">
      <c r="A32" s="41">
        <v>2</v>
      </c>
      <c r="B32" s="445" t="s">
        <v>104</v>
      </c>
      <c r="C32" s="446"/>
      <c r="D32" s="446"/>
      <c r="E32" s="446"/>
      <c r="F32" s="446"/>
      <c r="G32" s="447"/>
    </row>
    <row r="33" spans="1:7" ht="34.5" customHeight="1" hidden="1">
      <c r="A33" s="6">
        <v>3</v>
      </c>
      <c r="B33" s="445" t="s">
        <v>103</v>
      </c>
      <c r="C33" s="446"/>
      <c r="D33" s="446"/>
      <c r="E33" s="446"/>
      <c r="F33" s="446"/>
      <c r="G33" s="447"/>
    </row>
    <row r="34" spans="1:7" ht="13.5" customHeight="1">
      <c r="A34" s="16"/>
      <c r="B34" s="50"/>
      <c r="C34" s="50"/>
      <c r="D34" s="50"/>
      <c r="E34" s="50"/>
      <c r="F34" s="50"/>
      <c r="G34" s="50"/>
    </row>
    <row r="35" spans="1:7" ht="44.25" customHeight="1">
      <c r="A35" s="2" t="s">
        <v>11</v>
      </c>
      <c r="B35" s="436" t="s">
        <v>164</v>
      </c>
      <c r="C35" s="436"/>
      <c r="D35" s="436"/>
      <c r="E35" s="436"/>
      <c r="F35" s="436"/>
      <c r="G35" s="436"/>
    </row>
    <row r="36" spans="1:4" ht="24" customHeight="1">
      <c r="A36" s="2" t="s">
        <v>15</v>
      </c>
      <c r="B36" s="443" t="s">
        <v>12</v>
      </c>
      <c r="C36" s="443"/>
      <c r="D36" s="443"/>
    </row>
    <row r="37" ht="15.75">
      <c r="A37" s="3"/>
    </row>
    <row r="38" spans="1:7" ht="15.75">
      <c r="A38" s="6" t="s">
        <v>13</v>
      </c>
      <c r="B38" s="444" t="s">
        <v>14</v>
      </c>
      <c r="C38" s="444"/>
      <c r="D38" s="444"/>
      <c r="E38" s="444"/>
      <c r="F38" s="444"/>
      <c r="G38" s="444"/>
    </row>
    <row r="39" spans="1:7" ht="31.5" customHeight="1">
      <c r="A39" s="6" t="s">
        <v>169</v>
      </c>
      <c r="B39" s="445" t="s">
        <v>416</v>
      </c>
      <c r="C39" s="446"/>
      <c r="D39" s="446"/>
      <c r="E39" s="446"/>
      <c r="F39" s="446"/>
      <c r="G39" s="447"/>
    </row>
    <row r="40" spans="1:7" ht="31.5" customHeight="1">
      <c r="A40" s="6">
        <v>2</v>
      </c>
      <c r="B40" s="445" t="s">
        <v>485</v>
      </c>
      <c r="C40" s="446"/>
      <c r="D40" s="446"/>
      <c r="E40" s="446"/>
      <c r="F40" s="446"/>
      <c r="G40" s="447"/>
    </row>
    <row r="41" spans="1:7" ht="36.75" customHeight="1">
      <c r="A41" s="6">
        <v>3</v>
      </c>
      <c r="B41" s="445" t="s">
        <v>507</v>
      </c>
      <c r="C41" s="446"/>
      <c r="D41" s="446"/>
      <c r="E41" s="446"/>
      <c r="F41" s="446"/>
      <c r="G41" s="447"/>
    </row>
    <row r="42" spans="1:7" ht="31.5" customHeight="1">
      <c r="A42" s="6">
        <v>4</v>
      </c>
      <c r="B42" s="445" t="s">
        <v>567</v>
      </c>
      <c r="C42" s="446"/>
      <c r="D42" s="446"/>
      <c r="E42" s="446"/>
      <c r="F42" s="446"/>
      <c r="G42" s="447"/>
    </row>
    <row r="43" ht="15.75">
      <c r="A43" s="3"/>
    </row>
    <row r="44" spans="1:7" ht="15.75">
      <c r="A44" s="435">
        <v>9</v>
      </c>
      <c r="B44" s="436" t="s">
        <v>16</v>
      </c>
      <c r="C44" s="436"/>
      <c r="D44" s="436"/>
      <c r="E44" s="436"/>
      <c r="F44" s="436"/>
      <c r="G44" s="436"/>
    </row>
    <row r="45" spans="1:2" ht="15.75">
      <c r="A45" s="435"/>
      <c r="B45" s="1" t="s">
        <v>17</v>
      </c>
    </row>
    <row r="46" ht="15.75">
      <c r="A46" s="3"/>
    </row>
    <row r="47" spans="1:5" ht="31.5">
      <c r="A47" s="6" t="s">
        <v>13</v>
      </c>
      <c r="B47" s="6" t="s">
        <v>18</v>
      </c>
      <c r="C47" s="6" t="s">
        <v>19</v>
      </c>
      <c r="D47" s="6" t="s">
        <v>20</v>
      </c>
      <c r="E47" s="6" t="s">
        <v>21</v>
      </c>
    </row>
    <row r="48" spans="1:5" ht="15.75">
      <c r="A48" s="6">
        <v>1</v>
      </c>
      <c r="B48" s="6">
        <v>2</v>
      </c>
      <c r="C48" s="6">
        <v>3</v>
      </c>
      <c r="D48" s="6">
        <v>4</v>
      </c>
      <c r="E48" s="6">
        <v>6</v>
      </c>
    </row>
    <row r="49" spans="1:5" ht="75">
      <c r="A49" s="6" t="s">
        <v>169</v>
      </c>
      <c r="B49" s="31" t="s">
        <v>417</v>
      </c>
      <c r="C49" s="13">
        <f>E18-C50-C51-C52</f>
        <v>3550457.5700000003</v>
      </c>
      <c r="D49" s="13">
        <f>G18-D50-D51-D52</f>
        <v>750770.0000000008</v>
      </c>
      <c r="E49" s="13">
        <f>C49+D49</f>
        <v>4301227.570000001</v>
      </c>
    </row>
    <row r="50" spans="1:5" ht="30">
      <c r="A50" s="78">
        <v>2</v>
      </c>
      <c r="B50" s="12" t="s">
        <v>271</v>
      </c>
      <c r="C50" s="81">
        <f>E148</f>
        <v>440719</v>
      </c>
      <c r="D50" s="81">
        <f>F148</f>
        <v>7340713</v>
      </c>
      <c r="E50" s="13">
        <f>C50+D50</f>
        <v>7781432</v>
      </c>
    </row>
    <row r="51" spans="1:5" ht="84.75" customHeight="1">
      <c r="A51" s="78">
        <v>3</v>
      </c>
      <c r="B51" s="12" t="s">
        <v>568</v>
      </c>
      <c r="C51" s="81">
        <v>36401</v>
      </c>
      <c r="D51" s="81">
        <v>0</v>
      </c>
      <c r="E51" s="13">
        <f>C51+D51</f>
        <v>36401</v>
      </c>
    </row>
    <row r="52" spans="1:5" ht="36.75" customHeight="1">
      <c r="A52" s="78">
        <v>4</v>
      </c>
      <c r="B52" s="71" t="s">
        <v>564</v>
      </c>
      <c r="C52" s="81">
        <f>E191</f>
        <v>2343008.3</v>
      </c>
      <c r="D52" s="81">
        <f>F191</f>
        <v>1029202.13</v>
      </c>
      <c r="E52" s="13">
        <f>C52+D52</f>
        <v>3372210.4299999997</v>
      </c>
    </row>
    <row r="53" spans="1:5" ht="15.75">
      <c r="A53" s="434" t="s">
        <v>21</v>
      </c>
      <c r="B53" s="434"/>
      <c r="C53" s="14">
        <f>SUM(C49:C52)</f>
        <v>6370585.87</v>
      </c>
      <c r="D53" s="14">
        <f>SUM(D49:D52)</f>
        <v>9120685.13</v>
      </c>
      <c r="E53" s="14">
        <f>C53+D53</f>
        <v>15491271</v>
      </c>
    </row>
    <row r="54" ht="15.75">
      <c r="A54" s="3"/>
    </row>
    <row r="55" ht="15.75">
      <c r="A55" s="3"/>
    </row>
    <row r="56" spans="1:7" ht="15.75">
      <c r="A56" s="435" t="s">
        <v>194</v>
      </c>
      <c r="B56" s="436" t="s">
        <v>23</v>
      </c>
      <c r="C56" s="436"/>
      <c r="D56" s="436"/>
      <c r="E56" s="436"/>
      <c r="F56" s="436"/>
      <c r="G56" s="436"/>
    </row>
    <row r="57" spans="1:2" ht="15.75">
      <c r="A57" s="435"/>
      <c r="B57" s="1" t="s">
        <v>17</v>
      </c>
    </row>
    <row r="58" ht="15.75">
      <c r="A58" s="3"/>
    </row>
    <row r="59" spans="2:5" ht="31.5">
      <c r="B59" s="6" t="s">
        <v>193</v>
      </c>
      <c r="C59" s="6" t="s">
        <v>19</v>
      </c>
      <c r="D59" s="6" t="s">
        <v>20</v>
      </c>
      <c r="E59" s="6" t="s">
        <v>21</v>
      </c>
    </row>
    <row r="60" spans="2:5" ht="15.75">
      <c r="B60" s="6">
        <v>1</v>
      </c>
      <c r="C60" s="6">
        <v>2</v>
      </c>
      <c r="D60" s="6">
        <v>3</v>
      </c>
      <c r="E60" s="6">
        <v>4</v>
      </c>
    </row>
    <row r="61" spans="2:5" ht="105">
      <c r="B61" s="199" t="s">
        <v>484</v>
      </c>
      <c r="C61" s="24">
        <f>E18</f>
        <v>6370585.87</v>
      </c>
      <c r="D61" s="24">
        <f>G18</f>
        <v>9120685.13</v>
      </c>
      <c r="E61" s="24">
        <f>C61+D61</f>
        <v>15491271</v>
      </c>
    </row>
    <row r="62" spans="2:5" s="23" customFormat="1" ht="15.75">
      <c r="B62" s="17" t="s">
        <v>21</v>
      </c>
      <c r="C62" s="25">
        <f>C61</f>
        <v>6370585.87</v>
      </c>
      <c r="D62" s="25">
        <f>D61</f>
        <v>9120685.13</v>
      </c>
      <c r="E62" s="25">
        <f>E61</f>
        <v>15491271</v>
      </c>
    </row>
    <row r="63" ht="15.75">
      <c r="A63" s="3"/>
    </row>
    <row r="64" ht="15.75">
      <c r="A64" s="3"/>
    </row>
    <row r="65" spans="1:7" ht="15.75">
      <c r="A65" s="2" t="s">
        <v>47</v>
      </c>
      <c r="B65" s="436" t="s">
        <v>195</v>
      </c>
      <c r="C65" s="436"/>
      <c r="D65" s="436"/>
      <c r="E65" s="436"/>
      <c r="F65" s="436"/>
      <c r="G65" s="436"/>
    </row>
    <row r="66" ht="15.75">
      <c r="A66" s="3"/>
    </row>
    <row r="67" spans="1:7" ht="46.5" customHeight="1">
      <c r="A67" s="6" t="s">
        <v>13</v>
      </c>
      <c r="B67" s="6" t="s">
        <v>196</v>
      </c>
      <c r="C67" s="6" t="s">
        <v>197</v>
      </c>
      <c r="D67" s="6" t="s">
        <v>198</v>
      </c>
      <c r="E67" s="6" t="s">
        <v>19</v>
      </c>
      <c r="F67" s="6" t="s">
        <v>20</v>
      </c>
      <c r="G67" s="6" t="s">
        <v>21</v>
      </c>
    </row>
    <row r="68" spans="1:7" ht="15.75">
      <c r="A68" s="6">
        <v>1</v>
      </c>
      <c r="B68" s="6">
        <v>2</v>
      </c>
      <c r="C68" s="6">
        <v>3</v>
      </c>
      <c r="D68" s="6">
        <v>4</v>
      </c>
      <c r="E68" s="6">
        <v>5</v>
      </c>
      <c r="F68" s="6">
        <v>6</v>
      </c>
      <c r="G68" s="6">
        <v>7</v>
      </c>
    </row>
    <row r="69" spans="1:7" ht="35.25" customHeight="1">
      <c r="A69" s="6"/>
      <c r="B69" s="490" t="s">
        <v>416</v>
      </c>
      <c r="C69" s="491"/>
      <c r="D69" s="491"/>
      <c r="E69" s="491"/>
      <c r="F69" s="491"/>
      <c r="G69" s="492"/>
    </row>
    <row r="70" spans="1:7" ht="35.25" customHeight="1">
      <c r="A70" s="6"/>
      <c r="B70" s="297" t="s">
        <v>199</v>
      </c>
      <c r="C70" s="298"/>
      <c r="D70" s="298"/>
      <c r="E70" s="399">
        <f>E71-C49</f>
        <v>0.3299999996088445</v>
      </c>
      <c r="F70" s="399">
        <f>F71-D49</f>
        <v>0</v>
      </c>
      <c r="G70" s="299"/>
    </row>
    <row r="71" spans="1:7" ht="51" customHeight="1">
      <c r="A71" s="6"/>
      <c r="B71" s="33" t="s">
        <v>418</v>
      </c>
      <c r="C71" s="6" t="s">
        <v>79</v>
      </c>
      <c r="D71" s="6" t="s">
        <v>569</v>
      </c>
      <c r="E71" s="14">
        <f>SUM(E72:E85)</f>
        <v>3550457.9</v>
      </c>
      <c r="F71" s="83">
        <f>F72+F79+F73</f>
        <v>750770</v>
      </c>
      <c r="G71" s="14">
        <f>E71+F71</f>
        <v>4301227.9</v>
      </c>
    </row>
    <row r="72" spans="1:7" ht="80.25" customHeight="1">
      <c r="A72" s="6"/>
      <c r="B72" s="31" t="s">
        <v>419</v>
      </c>
      <c r="C72" s="6" t="s">
        <v>79</v>
      </c>
      <c r="D72" s="6" t="s">
        <v>569</v>
      </c>
      <c r="E72" s="286">
        <f>600000+349920+820000-365800-350520</f>
        <v>1053600</v>
      </c>
      <c r="F72" s="229">
        <f>384970</f>
        <v>384970</v>
      </c>
      <c r="G72" s="228">
        <f>E72+F72</f>
        <v>1438570</v>
      </c>
    </row>
    <row r="73" spans="1:7" ht="38.25" customHeight="1">
      <c r="A73" s="6"/>
      <c r="B73" s="31" t="s">
        <v>643</v>
      </c>
      <c r="C73" s="6" t="s">
        <v>79</v>
      </c>
      <c r="D73" s="6" t="s">
        <v>569</v>
      </c>
      <c r="E73" s="286">
        <v>0</v>
      </c>
      <c r="F73" s="229">
        <v>365800</v>
      </c>
      <c r="G73" s="228">
        <f>E73+F73</f>
        <v>365800</v>
      </c>
    </row>
    <row r="74" spans="1:7" ht="48" customHeight="1">
      <c r="A74" s="6"/>
      <c r="B74" s="31" t="s">
        <v>420</v>
      </c>
      <c r="C74" s="6" t="s">
        <v>79</v>
      </c>
      <c r="D74" s="6" t="s">
        <v>61</v>
      </c>
      <c r="E74" s="286">
        <f>70800+19183+3600+76900+28817-30000</f>
        <v>169300</v>
      </c>
      <c r="F74" s="229">
        <v>0</v>
      </c>
      <c r="G74" s="228">
        <f aca="true" t="shared" si="0" ref="G74:G84">E74+F74</f>
        <v>169300</v>
      </c>
    </row>
    <row r="75" spans="1:7" ht="44.25" customHeight="1">
      <c r="A75" s="6"/>
      <c r="B75" s="31" t="s">
        <v>421</v>
      </c>
      <c r="C75" s="6" t="s">
        <v>79</v>
      </c>
      <c r="D75" s="6" t="s">
        <v>61</v>
      </c>
      <c r="E75" s="286">
        <f>49000+25200+224000-19720</f>
        <v>278480</v>
      </c>
      <c r="F75" s="229">
        <v>0</v>
      </c>
      <c r="G75" s="228">
        <f t="shared" si="0"/>
        <v>278480</v>
      </c>
    </row>
    <row r="76" spans="1:7" ht="36" customHeight="1">
      <c r="A76" s="6"/>
      <c r="B76" s="31" t="s">
        <v>422</v>
      </c>
      <c r="C76" s="6" t="s">
        <v>79</v>
      </c>
      <c r="D76" s="6" t="s">
        <v>61</v>
      </c>
      <c r="E76" s="286">
        <f>120000+150000-130000-32344-10000</f>
        <v>97656</v>
      </c>
      <c r="F76" s="229">
        <v>0</v>
      </c>
      <c r="G76" s="228">
        <f t="shared" si="0"/>
        <v>97656</v>
      </c>
    </row>
    <row r="77" spans="1:7" ht="33" customHeight="1">
      <c r="A77" s="6"/>
      <c r="B77" s="31" t="s">
        <v>423</v>
      </c>
      <c r="C77" s="6" t="s">
        <v>79</v>
      </c>
      <c r="D77" s="6" t="s">
        <v>61</v>
      </c>
      <c r="E77" s="286">
        <f>2400+10500</f>
        <v>12900</v>
      </c>
      <c r="F77" s="229">
        <v>0</v>
      </c>
      <c r="G77" s="228">
        <f t="shared" si="0"/>
        <v>12900</v>
      </c>
    </row>
    <row r="78" spans="1:7" ht="90" customHeight="1">
      <c r="A78" s="6"/>
      <c r="B78" s="146" t="s">
        <v>424</v>
      </c>
      <c r="C78" s="6" t="s">
        <v>79</v>
      </c>
      <c r="D78" s="6" t="s">
        <v>61</v>
      </c>
      <c r="E78" s="286">
        <f>49400+30000</f>
        <v>79400</v>
      </c>
      <c r="F78" s="229">
        <v>0</v>
      </c>
      <c r="G78" s="228">
        <f t="shared" si="0"/>
        <v>79400</v>
      </c>
    </row>
    <row r="79" spans="1:7" ht="31.5">
      <c r="A79" s="6"/>
      <c r="B79" s="31" t="s">
        <v>425</v>
      </c>
      <c r="C79" s="6" t="s">
        <v>79</v>
      </c>
      <c r="D79" s="6" t="s">
        <v>569</v>
      </c>
      <c r="E79" s="286">
        <f>53000+481754+190300+356218+223500+2800-35753.1-10829-45000+36000</f>
        <v>1251989.9</v>
      </c>
      <c r="F79" s="229">
        <v>0</v>
      </c>
      <c r="G79" s="228">
        <f t="shared" si="0"/>
        <v>1251989.9</v>
      </c>
    </row>
    <row r="80" spans="1:7" ht="36.75" customHeight="1">
      <c r="A80" s="6"/>
      <c r="B80" s="31" t="s">
        <v>426</v>
      </c>
      <c r="C80" s="6" t="s">
        <v>79</v>
      </c>
      <c r="D80" s="6" t="s">
        <v>61</v>
      </c>
      <c r="E80" s="286">
        <f>60000</f>
        <v>60000</v>
      </c>
      <c r="F80" s="229">
        <v>0</v>
      </c>
      <c r="G80" s="228">
        <f t="shared" si="0"/>
        <v>60000</v>
      </c>
    </row>
    <row r="81" spans="1:7" ht="60">
      <c r="A81" s="6"/>
      <c r="B81" s="31" t="s">
        <v>427</v>
      </c>
      <c r="C81" s="6" t="s">
        <v>79</v>
      </c>
      <c r="D81" s="6" t="s">
        <v>61</v>
      </c>
      <c r="E81" s="286">
        <f>46200</f>
        <v>46200</v>
      </c>
      <c r="F81" s="229">
        <v>0</v>
      </c>
      <c r="G81" s="228">
        <f t="shared" si="0"/>
        <v>46200</v>
      </c>
    </row>
    <row r="82" spans="1:7" ht="33.75" customHeight="1">
      <c r="A82" s="6"/>
      <c r="B82" s="31" t="s">
        <v>428</v>
      </c>
      <c r="C82" s="6" t="s">
        <v>79</v>
      </c>
      <c r="D82" s="6" t="s">
        <v>61</v>
      </c>
      <c r="E82" s="287">
        <f>49300+9600-40980-8320</f>
        <v>9600</v>
      </c>
      <c r="F82" s="229">
        <v>0</v>
      </c>
      <c r="G82" s="228">
        <f t="shared" si="0"/>
        <v>9600</v>
      </c>
    </row>
    <row r="83" spans="1:7" ht="30">
      <c r="A83" s="105"/>
      <c r="B83" s="146" t="s">
        <v>429</v>
      </c>
      <c r="C83" s="78" t="s">
        <v>79</v>
      </c>
      <c r="D83" s="78" t="s">
        <v>61</v>
      </c>
      <c r="E83" s="288">
        <f>38700</f>
        <v>38700</v>
      </c>
      <c r="F83" s="231">
        <v>0</v>
      </c>
      <c r="G83" s="228">
        <f t="shared" si="0"/>
        <v>38700</v>
      </c>
    </row>
    <row r="84" spans="1:7" ht="30">
      <c r="A84" s="105"/>
      <c r="B84" s="12" t="s">
        <v>430</v>
      </c>
      <c r="C84" s="78" t="s">
        <v>79</v>
      </c>
      <c r="D84" s="78" t="s">
        <v>61</v>
      </c>
      <c r="E84" s="288">
        <f>150000+226800+19000-45</f>
        <v>395755</v>
      </c>
      <c r="F84" s="231">
        <v>0</v>
      </c>
      <c r="G84" s="228">
        <f t="shared" si="0"/>
        <v>395755</v>
      </c>
    </row>
    <row r="85" spans="1:7" ht="45">
      <c r="A85" s="105"/>
      <c r="B85" s="12" t="s">
        <v>700</v>
      </c>
      <c r="C85" s="78" t="s">
        <v>79</v>
      </c>
      <c r="D85" s="78" t="s">
        <v>61</v>
      </c>
      <c r="E85" s="288">
        <v>56877</v>
      </c>
      <c r="F85" s="231">
        <v>0</v>
      </c>
      <c r="G85" s="228">
        <f>E85+F85</f>
        <v>56877</v>
      </c>
    </row>
    <row r="86" spans="1:7" ht="15.75">
      <c r="A86" s="6">
        <v>2</v>
      </c>
      <c r="B86" s="17" t="s">
        <v>200</v>
      </c>
      <c r="C86" s="6"/>
      <c r="D86" s="6"/>
      <c r="E86" s="83"/>
      <c r="F86" s="83"/>
      <c r="G86" s="83"/>
    </row>
    <row r="87" spans="1:7" ht="45">
      <c r="A87" s="6"/>
      <c r="B87" s="203" t="s">
        <v>445</v>
      </c>
      <c r="C87" s="204" t="s">
        <v>66</v>
      </c>
      <c r="D87" s="205" t="s">
        <v>70</v>
      </c>
      <c r="E87" s="207">
        <f>1+1</f>
        <v>2</v>
      </c>
      <c r="F87" s="13">
        <v>1</v>
      </c>
      <c r="G87" s="13">
        <f>E87+F87</f>
        <v>3</v>
      </c>
    </row>
    <row r="88" spans="1:7" ht="30">
      <c r="A88" s="6"/>
      <c r="B88" s="203" t="s">
        <v>644</v>
      </c>
      <c r="C88" s="204" t="s">
        <v>66</v>
      </c>
      <c r="D88" s="205" t="s">
        <v>70</v>
      </c>
      <c r="E88" s="207">
        <v>0</v>
      </c>
      <c r="F88" s="13">
        <v>12</v>
      </c>
      <c r="G88" s="13">
        <f>E88+F88</f>
        <v>12</v>
      </c>
    </row>
    <row r="89" spans="1:7" ht="45">
      <c r="A89" s="6"/>
      <c r="B89" s="203" t="s">
        <v>446</v>
      </c>
      <c r="C89" s="204" t="s">
        <v>64</v>
      </c>
      <c r="D89" s="205" t="s">
        <v>447</v>
      </c>
      <c r="E89" s="132">
        <f>E90+E91</f>
        <v>25133</v>
      </c>
      <c r="F89" s="83" t="s">
        <v>109</v>
      </c>
      <c r="G89" s="14">
        <f aca="true" t="shared" si="1" ref="G89:G123">E89</f>
        <v>25133</v>
      </c>
    </row>
    <row r="90" spans="1:7" ht="15.75">
      <c r="A90" s="6"/>
      <c r="B90" s="206" t="s">
        <v>322</v>
      </c>
      <c r="C90" s="204" t="s">
        <v>64</v>
      </c>
      <c r="D90" s="205" t="s">
        <v>447</v>
      </c>
      <c r="E90" s="134">
        <f>9926+1190</f>
        <v>11116</v>
      </c>
      <c r="F90" s="83" t="s">
        <v>109</v>
      </c>
      <c r="G90" s="13">
        <f t="shared" si="1"/>
        <v>11116</v>
      </c>
    </row>
    <row r="91" spans="1:7" ht="15.75">
      <c r="A91" s="6"/>
      <c r="B91" s="206" t="s">
        <v>323</v>
      </c>
      <c r="C91" s="204" t="s">
        <v>64</v>
      </c>
      <c r="D91" s="205" t="s">
        <v>447</v>
      </c>
      <c r="E91" s="134">
        <f>12812+1205</f>
        <v>14017</v>
      </c>
      <c r="F91" s="83" t="s">
        <v>109</v>
      </c>
      <c r="G91" s="13">
        <f t="shared" si="1"/>
        <v>14017</v>
      </c>
    </row>
    <row r="92" spans="1:7" ht="30">
      <c r="A92" s="6"/>
      <c r="B92" s="203" t="s">
        <v>448</v>
      </c>
      <c r="C92" s="204" t="s">
        <v>64</v>
      </c>
      <c r="D92" s="205" t="s">
        <v>447</v>
      </c>
      <c r="E92" s="132">
        <f>E93+E94+E95+E96</f>
        <v>5420</v>
      </c>
      <c r="F92" s="83" t="s">
        <v>109</v>
      </c>
      <c r="G92" s="14">
        <f t="shared" si="1"/>
        <v>5420</v>
      </c>
    </row>
    <row r="93" spans="1:7" ht="15.75">
      <c r="A93" s="6"/>
      <c r="B93" s="206" t="s">
        <v>322</v>
      </c>
      <c r="C93" s="204" t="s">
        <v>64</v>
      </c>
      <c r="D93" s="205" t="s">
        <v>447</v>
      </c>
      <c r="E93" s="134">
        <f>110</f>
        <v>110</v>
      </c>
      <c r="F93" s="83" t="s">
        <v>109</v>
      </c>
      <c r="G93" s="13">
        <f t="shared" si="1"/>
        <v>110</v>
      </c>
    </row>
    <row r="94" spans="1:7" ht="15.75">
      <c r="A94" s="6"/>
      <c r="B94" s="206" t="s">
        <v>323</v>
      </c>
      <c r="C94" s="204" t="s">
        <v>64</v>
      </c>
      <c r="D94" s="205" t="s">
        <v>447</v>
      </c>
      <c r="E94" s="134">
        <f>140</f>
        <v>140</v>
      </c>
      <c r="F94" s="83" t="s">
        <v>109</v>
      </c>
      <c r="G94" s="13">
        <f t="shared" si="1"/>
        <v>140</v>
      </c>
    </row>
    <row r="95" spans="1:7" ht="15.75">
      <c r="A95" s="6"/>
      <c r="B95" s="206" t="s">
        <v>325</v>
      </c>
      <c r="C95" s="204" t="s">
        <v>64</v>
      </c>
      <c r="D95" s="205" t="s">
        <v>447</v>
      </c>
      <c r="E95" s="134">
        <f>2068</f>
        <v>2068</v>
      </c>
      <c r="F95" s="83" t="s">
        <v>109</v>
      </c>
      <c r="G95" s="13">
        <f t="shared" si="1"/>
        <v>2068</v>
      </c>
    </row>
    <row r="96" spans="1:7" ht="15.75">
      <c r="A96" s="6"/>
      <c r="B96" s="206" t="s">
        <v>449</v>
      </c>
      <c r="C96" s="204" t="s">
        <v>64</v>
      </c>
      <c r="D96" s="205" t="s">
        <v>447</v>
      </c>
      <c r="E96" s="134">
        <v>3102</v>
      </c>
      <c r="F96" s="83" t="s">
        <v>109</v>
      </c>
      <c r="G96" s="13">
        <f t="shared" si="1"/>
        <v>3102</v>
      </c>
    </row>
    <row r="97" spans="1:7" ht="30">
      <c r="A97" s="6"/>
      <c r="B97" s="203" t="s">
        <v>450</v>
      </c>
      <c r="C97" s="204" t="s">
        <v>64</v>
      </c>
      <c r="D97" s="205" t="s">
        <v>447</v>
      </c>
      <c r="E97" s="132">
        <f>E98+E99</f>
        <v>113</v>
      </c>
      <c r="F97" s="83" t="s">
        <v>109</v>
      </c>
      <c r="G97" s="14">
        <f t="shared" si="1"/>
        <v>113</v>
      </c>
    </row>
    <row r="98" spans="1:7" ht="15.75">
      <c r="A98" s="6"/>
      <c r="B98" s="206" t="s">
        <v>322</v>
      </c>
      <c r="C98" s="204" t="s">
        <v>64</v>
      </c>
      <c r="D98" s="205" t="s">
        <v>447</v>
      </c>
      <c r="E98" s="134">
        <v>56</v>
      </c>
      <c r="F98" s="83" t="s">
        <v>109</v>
      </c>
      <c r="G98" s="13">
        <f t="shared" si="1"/>
        <v>56</v>
      </c>
    </row>
    <row r="99" spans="1:7" ht="15.75">
      <c r="A99" s="6"/>
      <c r="B99" s="206" t="s">
        <v>323</v>
      </c>
      <c r="C99" s="204" t="s">
        <v>64</v>
      </c>
      <c r="D99" s="205" t="s">
        <v>447</v>
      </c>
      <c r="E99" s="134">
        <v>57</v>
      </c>
      <c r="F99" s="83" t="s">
        <v>109</v>
      </c>
      <c r="G99" s="13">
        <f t="shared" si="1"/>
        <v>57</v>
      </c>
    </row>
    <row r="100" spans="1:7" ht="45">
      <c r="A100" s="6"/>
      <c r="B100" s="161" t="s">
        <v>451</v>
      </c>
      <c r="C100" s="169" t="s">
        <v>64</v>
      </c>
      <c r="D100" s="201" t="s">
        <v>447</v>
      </c>
      <c r="E100" s="132">
        <f>E101+E102</f>
        <v>300</v>
      </c>
      <c r="F100" s="83" t="s">
        <v>109</v>
      </c>
      <c r="G100" s="14">
        <f t="shared" si="1"/>
        <v>300</v>
      </c>
    </row>
    <row r="101" spans="1:7" ht="15.75">
      <c r="A101" s="6"/>
      <c r="B101" s="206" t="s">
        <v>322</v>
      </c>
      <c r="C101" s="204" t="s">
        <v>64</v>
      </c>
      <c r="D101" s="205" t="s">
        <v>447</v>
      </c>
      <c r="E101" s="134">
        <v>135</v>
      </c>
      <c r="F101" s="83" t="s">
        <v>109</v>
      </c>
      <c r="G101" s="13">
        <f t="shared" si="1"/>
        <v>135</v>
      </c>
    </row>
    <row r="102" spans="1:7" ht="15.75">
      <c r="A102" s="6"/>
      <c r="B102" s="206" t="s">
        <v>323</v>
      </c>
      <c r="C102" s="204" t="s">
        <v>64</v>
      </c>
      <c r="D102" s="205" t="s">
        <v>447</v>
      </c>
      <c r="E102" s="134">
        <v>165</v>
      </c>
      <c r="F102" s="83" t="s">
        <v>109</v>
      </c>
      <c r="G102" s="13">
        <f t="shared" si="1"/>
        <v>165</v>
      </c>
    </row>
    <row r="103" spans="1:7" ht="105">
      <c r="A103" s="6"/>
      <c r="B103" s="161" t="s">
        <v>452</v>
      </c>
      <c r="C103" s="169" t="s">
        <v>64</v>
      </c>
      <c r="D103" s="201" t="s">
        <v>447</v>
      </c>
      <c r="E103" s="132">
        <f>E104+E105</f>
        <v>221</v>
      </c>
      <c r="F103" s="83" t="s">
        <v>109</v>
      </c>
      <c r="G103" s="14">
        <f t="shared" si="1"/>
        <v>221</v>
      </c>
    </row>
    <row r="104" spans="1:7" ht="15.75">
      <c r="A104" s="6"/>
      <c r="B104" s="206" t="s">
        <v>322</v>
      </c>
      <c r="C104" s="204" t="s">
        <v>64</v>
      </c>
      <c r="D104" s="205" t="s">
        <v>447</v>
      </c>
      <c r="E104" s="134">
        <f>9+10</f>
        <v>19</v>
      </c>
      <c r="F104" s="83" t="s">
        <v>109</v>
      </c>
      <c r="G104" s="13">
        <f t="shared" si="1"/>
        <v>19</v>
      </c>
    </row>
    <row r="105" spans="1:7" ht="15.75">
      <c r="A105" s="6"/>
      <c r="B105" s="206" t="s">
        <v>323</v>
      </c>
      <c r="C105" s="204" t="s">
        <v>64</v>
      </c>
      <c r="D105" s="205" t="s">
        <v>447</v>
      </c>
      <c r="E105" s="134">
        <f>12+190</f>
        <v>202</v>
      </c>
      <c r="F105" s="83" t="s">
        <v>109</v>
      </c>
      <c r="G105" s="13">
        <f t="shared" si="1"/>
        <v>202</v>
      </c>
    </row>
    <row r="106" spans="1:7" ht="75">
      <c r="A106" s="6"/>
      <c r="B106" s="161" t="s">
        <v>453</v>
      </c>
      <c r="C106" s="169" t="s">
        <v>64</v>
      </c>
      <c r="D106" s="201" t="s">
        <v>447</v>
      </c>
      <c r="E106" s="300">
        <v>1063</v>
      </c>
      <c r="F106" s="301">
        <v>0</v>
      </c>
      <c r="G106" s="302">
        <f>F106+E106</f>
        <v>1063</v>
      </c>
    </row>
    <row r="107" spans="1:7" ht="15.75">
      <c r="A107" s="6"/>
      <c r="B107" s="206" t="s">
        <v>322</v>
      </c>
      <c r="C107" s="204" t="s">
        <v>64</v>
      </c>
      <c r="D107" s="205" t="s">
        <v>447</v>
      </c>
      <c r="E107" s="134">
        <f>23+520+5+5</f>
        <v>553</v>
      </c>
      <c r="F107" s="296">
        <v>0</v>
      </c>
      <c r="G107" s="13">
        <f>F107+E107</f>
        <v>553</v>
      </c>
    </row>
    <row r="108" spans="1:7" ht="15.75">
      <c r="A108" s="6"/>
      <c r="B108" s="206" t="s">
        <v>323</v>
      </c>
      <c r="C108" s="204" t="s">
        <v>64</v>
      </c>
      <c r="D108" s="205" t="s">
        <v>447</v>
      </c>
      <c r="E108" s="134">
        <f>30+480</f>
        <v>510</v>
      </c>
      <c r="F108" s="296">
        <v>0</v>
      </c>
      <c r="G108" s="13">
        <f t="shared" si="1"/>
        <v>510</v>
      </c>
    </row>
    <row r="109" spans="1:7" ht="30">
      <c r="A109" s="6"/>
      <c r="B109" s="161" t="s">
        <v>454</v>
      </c>
      <c r="C109" s="169" t="s">
        <v>64</v>
      </c>
      <c r="D109" s="201" t="s">
        <v>447</v>
      </c>
      <c r="E109" s="132">
        <f>E110+E111</f>
        <v>50</v>
      </c>
      <c r="F109" s="83" t="s">
        <v>109</v>
      </c>
      <c r="G109" s="14">
        <f t="shared" si="1"/>
        <v>50</v>
      </c>
    </row>
    <row r="110" spans="1:7" ht="15.75">
      <c r="A110" s="6"/>
      <c r="B110" s="206" t="s">
        <v>322</v>
      </c>
      <c r="C110" s="204" t="s">
        <v>64</v>
      </c>
      <c r="D110" s="205" t="s">
        <v>447</v>
      </c>
      <c r="E110" s="134">
        <f>43</f>
        <v>43</v>
      </c>
      <c r="F110" s="83" t="s">
        <v>109</v>
      </c>
      <c r="G110" s="13">
        <f t="shared" si="1"/>
        <v>43</v>
      </c>
    </row>
    <row r="111" spans="1:7" ht="15.75">
      <c r="A111" s="6"/>
      <c r="B111" s="206" t="s">
        <v>323</v>
      </c>
      <c r="C111" s="204" t="s">
        <v>64</v>
      </c>
      <c r="D111" s="205" t="s">
        <v>447</v>
      </c>
      <c r="E111" s="134">
        <f>7</f>
        <v>7</v>
      </c>
      <c r="F111" s="83" t="s">
        <v>109</v>
      </c>
      <c r="G111" s="13">
        <f t="shared" si="1"/>
        <v>7</v>
      </c>
    </row>
    <row r="112" spans="1:7" ht="30">
      <c r="A112" s="6"/>
      <c r="B112" s="161" t="s">
        <v>455</v>
      </c>
      <c r="C112" s="169" t="s">
        <v>64</v>
      </c>
      <c r="D112" s="201" t="s">
        <v>447</v>
      </c>
      <c r="E112" s="132">
        <f>E113+E114</f>
        <v>2</v>
      </c>
      <c r="F112" s="83" t="s">
        <v>109</v>
      </c>
      <c r="G112" s="14">
        <f t="shared" si="1"/>
        <v>2</v>
      </c>
    </row>
    <row r="113" spans="1:7" ht="15.75">
      <c r="A113" s="6"/>
      <c r="B113" s="206" t="s">
        <v>322</v>
      </c>
      <c r="C113" s="204" t="s">
        <v>64</v>
      </c>
      <c r="D113" s="205" t="s">
        <v>447</v>
      </c>
      <c r="E113" s="134">
        <f>2</f>
        <v>2</v>
      </c>
      <c r="F113" s="83" t="s">
        <v>109</v>
      </c>
      <c r="G113" s="13">
        <f t="shared" si="1"/>
        <v>2</v>
      </c>
    </row>
    <row r="114" spans="1:7" ht="15.75">
      <c r="A114" s="6"/>
      <c r="B114" s="206" t="s">
        <v>323</v>
      </c>
      <c r="C114" s="204" t="s">
        <v>64</v>
      </c>
      <c r="D114" s="205" t="s">
        <v>447</v>
      </c>
      <c r="E114" s="134">
        <v>0</v>
      </c>
      <c r="F114" s="83" t="s">
        <v>109</v>
      </c>
      <c r="G114" s="13">
        <f t="shared" si="1"/>
        <v>0</v>
      </c>
    </row>
    <row r="115" spans="1:7" ht="30">
      <c r="A115" s="6"/>
      <c r="B115" s="161" t="s">
        <v>456</v>
      </c>
      <c r="C115" s="169" t="s">
        <v>64</v>
      </c>
      <c r="D115" s="201" t="s">
        <v>447</v>
      </c>
      <c r="E115" s="132">
        <f>E116+E117</f>
        <v>630</v>
      </c>
      <c r="F115" s="83" t="s">
        <v>109</v>
      </c>
      <c r="G115" s="14">
        <f t="shared" si="1"/>
        <v>630</v>
      </c>
    </row>
    <row r="116" spans="1:7" ht="15.75">
      <c r="A116" s="6"/>
      <c r="B116" s="206" t="s">
        <v>322</v>
      </c>
      <c r="C116" s="204" t="s">
        <v>64</v>
      </c>
      <c r="D116" s="205" t="s">
        <v>447</v>
      </c>
      <c r="E116" s="134">
        <v>0</v>
      </c>
      <c r="F116" s="83" t="s">
        <v>109</v>
      </c>
      <c r="G116" s="13">
        <f t="shared" si="1"/>
        <v>0</v>
      </c>
    </row>
    <row r="117" spans="1:7" ht="15.75">
      <c r="A117" s="6"/>
      <c r="B117" s="206" t="s">
        <v>323</v>
      </c>
      <c r="C117" s="204" t="s">
        <v>64</v>
      </c>
      <c r="D117" s="205" t="s">
        <v>447</v>
      </c>
      <c r="E117" s="134">
        <v>630</v>
      </c>
      <c r="F117" s="83" t="s">
        <v>109</v>
      </c>
      <c r="G117" s="13">
        <f t="shared" si="1"/>
        <v>630</v>
      </c>
    </row>
    <row r="118" spans="1:7" ht="75">
      <c r="A118" s="6"/>
      <c r="B118" s="161" t="s">
        <v>457</v>
      </c>
      <c r="C118" s="169" t="s">
        <v>64</v>
      </c>
      <c r="D118" s="201" t="s">
        <v>447</v>
      </c>
      <c r="E118" s="132">
        <f>E119+E120</f>
        <v>30</v>
      </c>
      <c r="F118" s="83" t="s">
        <v>109</v>
      </c>
      <c r="G118" s="14">
        <f t="shared" si="1"/>
        <v>30</v>
      </c>
    </row>
    <row r="119" spans="1:7" ht="15.75">
      <c r="A119" s="6"/>
      <c r="B119" s="206" t="s">
        <v>325</v>
      </c>
      <c r="C119" s="204" t="s">
        <v>64</v>
      </c>
      <c r="D119" s="205" t="s">
        <v>447</v>
      </c>
      <c r="E119" s="134">
        <v>18</v>
      </c>
      <c r="F119" s="83" t="s">
        <v>109</v>
      </c>
      <c r="G119" s="13">
        <f t="shared" si="1"/>
        <v>18</v>
      </c>
    </row>
    <row r="120" spans="1:7" ht="15.75">
      <c r="A120" s="6"/>
      <c r="B120" s="206" t="s">
        <v>449</v>
      </c>
      <c r="C120" s="204" t="s">
        <v>64</v>
      </c>
      <c r="D120" s="205" t="s">
        <v>447</v>
      </c>
      <c r="E120" s="134">
        <v>12</v>
      </c>
      <c r="F120" s="83" t="s">
        <v>109</v>
      </c>
      <c r="G120" s="13">
        <f t="shared" si="1"/>
        <v>12</v>
      </c>
    </row>
    <row r="121" spans="1:7" ht="105">
      <c r="A121" s="6"/>
      <c r="B121" s="146" t="s">
        <v>458</v>
      </c>
      <c r="C121" s="169" t="s">
        <v>64</v>
      </c>
      <c r="D121" s="201" t="s">
        <v>447</v>
      </c>
      <c r="E121" s="132">
        <f>E122+E123</f>
        <v>30</v>
      </c>
      <c r="F121" s="106" t="s">
        <v>109</v>
      </c>
      <c r="G121" s="14">
        <f t="shared" si="1"/>
        <v>30</v>
      </c>
    </row>
    <row r="122" spans="1:7" ht="15.75">
      <c r="A122" s="6"/>
      <c r="B122" s="206" t="s">
        <v>322</v>
      </c>
      <c r="C122" s="204" t="s">
        <v>64</v>
      </c>
      <c r="D122" s="205" t="s">
        <v>447</v>
      </c>
      <c r="E122" s="134">
        <v>16</v>
      </c>
      <c r="F122" s="106" t="s">
        <v>109</v>
      </c>
      <c r="G122" s="13">
        <f t="shared" si="1"/>
        <v>16</v>
      </c>
    </row>
    <row r="123" spans="1:7" ht="15.75">
      <c r="A123" s="6"/>
      <c r="B123" s="206" t="s">
        <v>323</v>
      </c>
      <c r="C123" s="204" t="s">
        <v>64</v>
      </c>
      <c r="D123" s="205" t="s">
        <v>447</v>
      </c>
      <c r="E123" s="134">
        <v>14</v>
      </c>
      <c r="F123" s="106" t="s">
        <v>109</v>
      </c>
      <c r="G123" s="13">
        <f t="shared" si="1"/>
        <v>14</v>
      </c>
    </row>
    <row r="124" spans="1:7" ht="60">
      <c r="A124" s="6"/>
      <c r="B124" s="203" t="s">
        <v>701</v>
      </c>
      <c r="C124" s="169" t="s">
        <v>64</v>
      </c>
      <c r="D124" s="201" t="s">
        <v>447</v>
      </c>
      <c r="E124" s="134">
        <v>1010</v>
      </c>
      <c r="F124" s="106" t="s">
        <v>109</v>
      </c>
      <c r="G124" s="14">
        <f>E124</f>
        <v>1010</v>
      </c>
    </row>
    <row r="125" spans="1:7" ht="15.75">
      <c r="A125" s="6"/>
      <c r="B125" s="206" t="s">
        <v>322</v>
      </c>
      <c r="C125" s="204" t="s">
        <v>64</v>
      </c>
      <c r="D125" s="205" t="s">
        <v>447</v>
      </c>
      <c r="E125" s="134">
        <v>480</v>
      </c>
      <c r="F125" s="106" t="s">
        <v>109</v>
      </c>
      <c r="G125" s="13">
        <f>E125</f>
        <v>480</v>
      </c>
    </row>
    <row r="126" spans="1:7" ht="15.75">
      <c r="A126" s="6"/>
      <c r="B126" s="206" t="s">
        <v>323</v>
      </c>
      <c r="C126" s="204" t="s">
        <v>64</v>
      </c>
      <c r="D126" s="205" t="s">
        <v>447</v>
      </c>
      <c r="E126" s="134">
        <v>530</v>
      </c>
      <c r="F126" s="106" t="s">
        <v>109</v>
      </c>
      <c r="G126" s="13">
        <f>E126</f>
        <v>530</v>
      </c>
    </row>
    <row r="127" spans="1:7" ht="15.75">
      <c r="A127" s="6">
        <v>3</v>
      </c>
      <c r="B127" s="17" t="s">
        <v>201</v>
      </c>
      <c r="C127" s="6"/>
      <c r="D127" s="6"/>
      <c r="E127" s="83"/>
      <c r="F127" s="83"/>
      <c r="G127" s="83"/>
    </row>
    <row r="128" spans="1:7" ht="90">
      <c r="A128" s="6"/>
      <c r="B128" s="161" t="s">
        <v>431</v>
      </c>
      <c r="C128" s="169" t="s">
        <v>79</v>
      </c>
      <c r="D128" s="201" t="s">
        <v>432</v>
      </c>
      <c r="E128" s="13">
        <f>E72/E87</f>
        <v>526800</v>
      </c>
      <c r="F128" s="13">
        <f>F72/F87</f>
        <v>384970</v>
      </c>
      <c r="G128" s="13">
        <f>E128+F128</f>
        <v>911770</v>
      </c>
    </row>
    <row r="129" spans="1:7" ht="45">
      <c r="A129" s="6"/>
      <c r="B129" s="161" t="s">
        <v>645</v>
      </c>
      <c r="C129" s="169" t="s">
        <v>79</v>
      </c>
      <c r="D129" s="201" t="s">
        <v>432</v>
      </c>
      <c r="E129" s="13">
        <v>0</v>
      </c>
      <c r="F129" s="13">
        <f>F73/F88</f>
        <v>30483.333333333332</v>
      </c>
      <c r="G129" s="13">
        <f>E129+F129</f>
        <v>30483.333333333332</v>
      </c>
    </row>
    <row r="130" spans="1:7" ht="28.5">
      <c r="A130" s="6"/>
      <c r="B130" s="202" t="s">
        <v>433</v>
      </c>
      <c r="C130" s="169" t="s">
        <v>79</v>
      </c>
      <c r="D130" s="201" t="s">
        <v>432</v>
      </c>
      <c r="E130" s="83" t="s">
        <v>109</v>
      </c>
      <c r="F130" s="83" t="s">
        <v>109</v>
      </c>
      <c r="G130" s="83" t="str">
        <f aca="true" t="shared" si="2" ref="G130:G142">E130</f>
        <v>-</v>
      </c>
    </row>
    <row r="131" spans="1:7" ht="30">
      <c r="A131" s="6"/>
      <c r="B131" s="161" t="s">
        <v>434</v>
      </c>
      <c r="C131" s="169" t="s">
        <v>79</v>
      </c>
      <c r="D131" s="201" t="s">
        <v>432</v>
      </c>
      <c r="E131" s="83">
        <f>E74/E89</f>
        <v>6.736163609596944</v>
      </c>
      <c r="F131" s="83" t="s">
        <v>109</v>
      </c>
      <c r="G131" s="83">
        <f t="shared" si="2"/>
        <v>6.736163609596944</v>
      </c>
    </row>
    <row r="132" spans="1:7" ht="15.75">
      <c r="A132" s="6"/>
      <c r="B132" s="161" t="s">
        <v>435</v>
      </c>
      <c r="C132" s="169" t="s">
        <v>79</v>
      </c>
      <c r="D132" s="201" t="s">
        <v>432</v>
      </c>
      <c r="E132" s="83">
        <f>E75/E92</f>
        <v>51.38007380073801</v>
      </c>
      <c r="F132" s="83" t="s">
        <v>109</v>
      </c>
      <c r="G132" s="83">
        <f t="shared" si="2"/>
        <v>51.38007380073801</v>
      </c>
    </row>
    <row r="133" spans="1:7" ht="30">
      <c r="A133" s="6"/>
      <c r="B133" s="161" t="s">
        <v>436</v>
      </c>
      <c r="C133" s="169" t="s">
        <v>79</v>
      </c>
      <c r="D133" s="201" t="s">
        <v>432</v>
      </c>
      <c r="E133" s="83">
        <f>E76/E97</f>
        <v>864.212389380531</v>
      </c>
      <c r="F133" s="83" t="s">
        <v>109</v>
      </c>
      <c r="G133" s="83">
        <f t="shared" si="2"/>
        <v>864.212389380531</v>
      </c>
    </row>
    <row r="134" spans="1:7" ht="30">
      <c r="A134" s="6"/>
      <c r="B134" s="161" t="s">
        <v>437</v>
      </c>
      <c r="C134" s="169" t="s">
        <v>79</v>
      </c>
      <c r="D134" s="201" t="s">
        <v>432</v>
      </c>
      <c r="E134" s="83">
        <f>E77/E100</f>
        <v>43</v>
      </c>
      <c r="F134" s="83" t="s">
        <v>109</v>
      </c>
      <c r="G134" s="83">
        <f t="shared" si="2"/>
        <v>43</v>
      </c>
    </row>
    <row r="135" spans="1:7" ht="60">
      <c r="A135" s="6"/>
      <c r="B135" s="161" t="s">
        <v>438</v>
      </c>
      <c r="C135" s="169" t="s">
        <v>79</v>
      </c>
      <c r="D135" s="201" t="s">
        <v>432</v>
      </c>
      <c r="E135" s="83">
        <f>E78/E103</f>
        <v>359.2760180995475</v>
      </c>
      <c r="F135" s="83" t="s">
        <v>109</v>
      </c>
      <c r="G135" s="83">
        <f t="shared" si="2"/>
        <v>359.2760180995475</v>
      </c>
    </row>
    <row r="136" spans="1:7" ht="45">
      <c r="A136" s="6"/>
      <c r="B136" s="161" t="s">
        <v>439</v>
      </c>
      <c r="C136" s="169" t="s">
        <v>79</v>
      </c>
      <c r="D136" s="201" t="s">
        <v>432</v>
      </c>
      <c r="E136" s="83">
        <f>E79/E106</f>
        <v>1177.789181561618</v>
      </c>
      <c r="F136" s="83" t="s">
        <v>109</v>
      </c>
      <c r="G136" s="83">
        <f t="shared" si="2"/>
        <v>1177.789181561618</v>
      </c>
    </row>
    <row r="137" spans="1:7" ht="15.75">
      <c r="A137" s="6"/>
      <c r="B137" s="161" t="s">
        <v>440</v>
      </c>
      <c r="C137" s="169" t="s">
        <v>79</v>
      </c>
      <c r="D137" s="201" t="s">
        <v>432</v>
      </c>
      <c r="E137" s="83">
        <f>E80/E109</f>
        <v>1200</v>
      </c>
      <c r="F137" s="83" t="s">
        <v>109</v>
      </c>
      <c r="G137" s="83">
        <f t="shared" si="2"/>
        <v>1200</v>
      </c>
    </row>
    <row r="138" spans="1:7" ht="15.75">
      <c r="A138" s="6"/>
      <c r="B138" s="161" t="s">
        <v>441</v>
      </c>
      <c r="C138" s="169" t="s">
        <v>79</v>
      </c>
      <c r="D138" s="201" t="s">
        <v>432</v>
      </c>
      <c r="E138" s="83">
        <f>E81/E112</f>
        <v>23100</v>
      </c>
      <c r="F138" s="83" t="s">
        <v>109</v>
      </c>
      <c r="G138" s="83">
        <f t="shared" si="2"/>
        <v>23100</v>
      </c>
    </row>
    <row r="139" spans="1:7" ht="30">
      <c r="A139" s="6"/>
      <c r="B139" s="161" t="s">
        <v>442</v>
      </c>
      <c r="C139" s="169" t="s">
        <v>79</v>
      </c>
      <c r="D139" s="201" t="s">
        <v>432</v>
      </c>
      <c r="E139" s="83">
        <f>E82/E115</f>
        <v>15.238095238095237</v>
      </c>
      <c r="F139" s="83" t="s">
        <v>109</v>
      </c>
      <c r="G139" s="83">
        <f t="shared" si="2"/>
        <v>15.238095238095237</v>
      </c>
    </row>
    <row r="140" spans="1:7" ht="49.5" customHeight="1">
      <c r="A140" s="6"/>
      <c r="B140" s="161" t="s">
        <v>443</v>
      </c>
      <c r="C140" s="169" t="s">
        <v>79</v>
      </c>
      <c r="D140" s="201" t="s">
        <v>432</v>
      </c>
      <c r="E140" s="83">
        <f>E83/E118</f>
        <v>1290</v>
      </c>
      <c r="F140" s="83" t="s">
        <v>109</v>
      </c>
      <c r="G140" s="83">
        <f t="shared" si="2"/>
        <v>1290</v>
      </c>
    </row>
    <row r="141" spans="1:7" ht="30">
      <c r="A141" s="6"/>
      <c r="B141" s="161" t="s">
        <v>444</v>
      </c>
      <c r="C141" s="169" t="s">
        <v>79</v>
      </c>
      <c r="D141" s="201" t="s">
        <v>432</v>
      </c>
      <c r="E141" s="200">
        <f>E84/E121</f>
        <v>13191.833333333334</v>
      </c>
      <c r="F141" s="83" t="s">
        <v>109</v>
      </c>
      <c r="G141" s="83">
        <f t="shared" si="2"/>
        <v>13191.833333333334</v>
      </c>
    </row>
    <row r="142" spans="1:7" ht="15.75">
      <c r="A142" s="6"/>
      <c r="B142" s="161" t="s">
        <v>702</v>
      </c>
      <c r="C142" s="169" t="s">
        <v>79</v>
      </c>
      <c r="D142" s="201" t="s">
        <v>432</v>
      </c>
      <c r="E142" s="200">
        <f>E85/E122</f>
        <v>3554.8125</v>
      </c>
      <c r="F142" s="83" t="s">
        <v>109</v>
      </c>
      <c r="G142" s="83">
        <f t="shared" si="2"/>
        <v>3554.8125</v>
      </c>
    </row>
    <row r="143" spans="1:7" ht="15.75">
      <c r="A143" s="6">
        <v>4</v>
      </c>
      <c r="B143" s="17" t="s">
        <v>202</v>
      </c>
      <c r="C143" s="6"/>
      <c r="D143" s="6"/>
      <c r="E143" s="83"/>
      <c r="F143" s="83"/>
      <c r="G143" s="83"/>
    </row>
    <row r="144" spans="1:7" ht="30">
      <c r="A144" s="6"/>
      <c r="B144" s="146" t="s">
        <v>459</v>
      </c>
      <c r="C144" s="168" t="s">
        <v>71</v>
      </c>
      <c r="D144" s="201" t="s">
        <v>432</v>
      </c>
      <c r="E144" s="13">
        <v>53</v>
      </c>
      <c r="F144" s="13">
        <v>100</v>
      </c>
      <c r="G144" s="13">
        <f>E144</f>
        <v>53</v>
      </c>
    </row>
    <row r="145" spans="1:7" ht="30">
      <c r="A145" s="6"/>
      <c r="B145" s="146" t="s">
        <v>460</v>
      </c>
      <c r="C145" s="168" t="s">
        <v>71</v>
      </c>
      <c r="D145" s="201" t="s">
        <v>461</v>
      </c>
      <c r="E145" s="76">
        <v>9.8</v>
      </c>
      <c r="F145" s="76" t="s">
        <v>109</v>
      </c>
      <c r="G145" s="76">
        <f>E145</f>
        <v>9.8</v>
      </c>
    </row>
    <row r="146" spans="1:7" ht="30">
      <c r="A146" s="6"/>
      <c r="B146" s="146" t="s">
        <v>462</v>
      </c>
      <c r="C146" s="168" t="s">
        <v>71</v>
      </c>
      <c r="D146" s="201" t="s">
        <v>461</v>
      </c>
      <c r="E146" s="83">
        <v>68.42</v>
      </c>
      <c r="F146" s="13" t="s">
        <v>109</v>
      </c>
      <c r="G146" s="83">
        <f>E146</f>
        <v>68.42</v>
      </c>
    </row>
    <row r="147" spans="1:7" ht="22.5" customHeight="1">
      <c r="A147" s="6"/>
      <c r="B147" s="493" t="s">
        <v>490</v>
      </c>
      <c r="C147" s="494"/>
      <c r="D147" s="494"/>
      <c r="E147" s="494"/>
      <c r="F147" s="494"/>
      <c r="G147" s="495"/>
    </row>
    <row r="148" spans="1:7" ht="23.25" customHeight="1">
      <c r="A148" s="6">
        <v>1</v>
      </c>
      <c r="B148" s="17" t="s">
        <v>588</v>
      </c>
      <c r="C148" s="6"/>
      <c r="D148" s="6"/>
      <c r="E148" s="228">
        <f>E149+E151+E150+E155+E152+E153+E154+E157+E156</f>
        <v>440719</v>
      </c>
      <c r="F148" s="228">
        <f>F149+F151+F150+F155+F152+F153</f>
        <v>7340713</v>
      </c>
      <c r="G148" s="228">
        <f>SUM(G149:G157)</f>
        <v>7781432</v>
      </c>
    </row>
    <row r="149" spans="1:7" ht="31.5">
      <c r="A149" s="7"/>
      <c r="B149" s="7" t="s">
        <v>488</v>
      </c>
      <c r="C149" s="6" t="s">
        <v>79</v>
      </c>
      <c r="D149" s="6" t="s">
        <v>8</v>
      </c>
      <c r="E149" s="229">
        <v>0</v>
      </c>
      <c r="F149" s="229">
        <f>7477700-136987</f>
        <v>7340713</v>
      </c>
      <c r="G149" s="229">
        <f aca="true" t="shared" si="3" ref="G149:G157">E149+F149</f>
        <v>7340713</v>
      </c>
    </row>
    <row r="150" spans="1:7" ht="31.5">
      <c r="A150" s="7"/>
      <c r="B150" s="7" t="s">
        <v>489</v>
      </c>
      <c r="C150" s="6" t="s">
        <v>79</v>
      </c>
      <c r="D150" s="6" t="s">
        <v>8</v>
      </c>
      <c r="E150" s="229">
        <f>100000</f>
        <v>100000</v>
      </c>
      <c r="F150" s="229">
        <v>0</v>
      </c>
      <c r="G150" s="229">
        <f t="shared" si="3"/>
        <v>100000</v>
      </c>
    </row>
    <row r="151" spans="1:7" ht="78.75">
      <c r="A151" s="7"/>
      <c r="B151" s="7" t="s">
        <v>509</v>
      </c>
      <c r="C151" s="6" t="s">
        <v>79</v>
      </c>
      <c r="D151" s="6" t="s">
        <v>8</v>
      </c>
      <c r="E151" s="229">
        <f>146500-83327</f>
        <v>63173</v>
      </c>
      <c r="F151" s="229">
        <v>0</v>
      </c>
      <c r="G151" s="229">
        <f t="shared" si="3"/>
        <v>63173</v>
      </c>
    </row>
    <row r="152" spans="1:7" ht="47.25">
      <c r="A152" s="7"/>
      <c r="B152" s="7" t="s">
        <v>510</v>
      </c>
      <c r="C152" s="6" t="s">
        <v>79</v>
      </c>
      <c r="D152" s="6" t="s">
        <v>8</v>
      </c>
      <c r="E152" s="229">
        <v>11548</v>
      </c>
      <c r="F152" s="229">
        <v>0</v>
      </c>
      <c r="G152" s="229">
        <f t="shared" si="3"/>
        <v>11548</v>
      </c>
    </row>
    <row r="153" spans="1:7" ht="47.25">
      <c r="A153" s="7"/>
      <c r="B153" s="7" t="s">
        <v>618</v>
      </c>
      <c r="C153" s="6" t="s">
        <v>79</v>
      </c>
      <c r="D153" s="6" t="s">
        <v>8</v>
      </c>
      <c r="E153" s="229">
        <v>22800</v>
      </c>
      <c r="F153" s="229">
        <v>0</v>
      </c>
      <c r="G153" s="229">
        <f t="shared" si="3"/>
        <v>22800</v>
      </c>
    </row>
    <row r="154" spans="1:7" ht="31.5">
      <c r="A154" s="7"/>
      <c r="B154" s="7" t="s">
        <v>617</v>
      </c>
      <c r="C154" s="6" t="s">
        <v>79</v>
      </c>
      <c r="D154" s="6" t="s">
        <v>8</v>
      </c>
      <c r="E154" s="229">
        <v>8199</v>
      </c>
      <c r="F154" s="229">
        <v>0</v>
      </c>
      <c r="G154" s="229">
        <f>E154+F154</f>
        <v>8199</v>
      </c>
    </row>
    <row r="155" spans="1:7" ht="63">
      <c r="A155" s="7"/>
      <c r="B155" s="7" t="s">
        <v>640</v>
      </c>
      <c r="C155" s="6" t="s">
        <v>79</v>
      </c>
      <c r="D155" s="6" t="s">
        <v>8</v>
      </c>
      <c r="E155" s="229">
        <f>269976-79977</f>
        <v>189999</v>
      </c>
      <c r="F155" s="229">
        <v>0</v>
      </c>
      <c r="G155" s="229">
        <f t="shared" si="3"/>
        <v>189999</v>
      </c>
    </row>
    <row r="156" spans="1:7" ht="31.5">
      <c r="A156" s="7"/>
      <c r="B156" s="7" t="s">
        <v>662</v>
      </c>
      <c r="C156" s="6" t="s">
        <v>79</v>
      </c>
      <c r="D156" s="6" t="s">
        <v>8</v>
      </c>
      <c r="E156" s="229">
        <v>30000</v>
      </c>
      <c r="F156" s="229">
        <v>0</v>
      </c>
      <c r="G156" s="229">
        <f>E156+F156</f>
        <v>30000</v>
      </c>
    </row>
    <row r="157" spans="1:7" ht="63">
      <c r="A157" s="7"/>
      <c r="B157" s="7" t="s">
        <v>653</v>
      </c>
      <c r="C157" s="6" t="s">
        <v>79</v>
      </c>
      <c r="D157" s="6" t="s">
        <v>8</v>
      </c>
      <c r="E157" s="229">
        <v>15000</v>
      </c>
      <c r="F157" s="229">
        <v>0</v>
      </c>
      <c r="G157" s="229">
        <f t="shared" si="3"/>
        <v>15000</v>
      </c>
    </row>
    <row r="158" spans="1:7" ht="15.75">
      <c r="A158" s="6">
        <v>2</v>
      </c>
      <c r="B158" s="17" t="s">
        <v>268</v>
      </c>
      <c r="C158" s="28"/>
      <c r="D158" s="28"/>
      <c r="E158" s="229"/>
      <c r="F158" s="229"/>
      <c r="G158" s="230"/>
    </row>
    <row r="159" spans="1:7" ht="47.25">
      <c r="A159" s="7"/>
      <c r="B159" s="104" t="s">
        <v>511</v>
      </c>
      <c r="C159" s="78" t="s">
        <v>66</v>
      </c>
      <c r="D159" s="78" t="s">
        <v>69</v>
      </c>
      <c r="E159" s="231">
        <v>0</v>
      </c>
      <c r="F159" s="231">
        <f>8</f>
        <v>8</v>
      </c>
      <c r="G159" s="231">
        <f>E159+F159</f>
        <v>8</v>
      </c>
    </row>
    <row r="160" spans="1:7" ht="31.5">
      <c r="A160" s="7"/>
      <c r="B160" s="104" t="s">
        <v>544</v>
      </c>
      <c r="C160" s="78" t="s">
        <v>66</v>
      </c>
      <c r="D160" s="78" t="s">
        <v>69</v>
      </c>
      <c r="E160" s="231">
        <v>62</v>
      </c>
      <c r="F160" s="229">
        <v>0</v>
      </c>
      <c r="G160" s="231">
        <v>62</v>
      </c>
    </row>
    <row r="161" spans="1:7" ht="78.75">
      <c r="A161" s="7"/>
      <c r="B161" s="104" t="s">
        <v>512</v>
      </c>
      <c r="C161" s="78" t="s">
        <v>66</v>
      </c>
      <c r="D161" s="78" t="s">
        <v>69</v>
      </c>
      <c r="E161" s="231">
        <v>8</v>
      </c>
      <c r="F161" s="229">
        <v>0</v>
      </c>
      <c r="G161" s="231">
        <f aca="true" t="shared" si="4" ref="G161:G167">E161+F161</f>
        <v>8</v>
      </c>
    </row>
    <row r="162" spans="1:7" ht="47.25">
      <c r="A162" s="7"/>
      <c r="B162" s="104" t="s">
        <v>513</v>
      </c>
      <c r="C162" s="78" t="s">
        <v>66</v>
      </c>
      <c r="D162" s="78" t="s">
        <v>69</v>
      </c>
      <c r="E162" s="231">
        <v>1</v>
      </c>
      <c r="F162" s="229">
        <v>0</v>
      </c>
      <c r="G162" s="231">
        <f t="shared" si="4"/>
        <v>1</v>
      </c>
    </row>
    <row r="163" spans="1:7" ht="31.5">
      <c r="A163" s="7"/>
      <c r="B163" s="104" t="s">
        <v>544</v>
      </c>
      <c r="C163" s="78" t="s">
        <v>66</v>
      </c>
      <c r="D163" s="78" t="s">
        <v>69</v>
      </c>
      <c r="E163" s="231">
        <v>16</v>
      </c>
      <c r="F163" s="229">
        <v>0</v>
      </c>
      <c r="G163" s="231">
        <f t="shared" si="4"/>
        <v>16</v>
      </c>
    </row>
    <row r="164" spans="1:7" ht="47.25">
      <c r="A164" s="7"/>
      <c r="B164" s="104" t="s">
        <v>619</v>
      </c>
      <c r="C164" s="78" t="s">
        <v>66</v>
      </c>
      <c r="D164" s="78" t="s">
        <v>69</v>
      </c>
      <c r="E164" s="231">
        <v>55</v>
      </c>
      <c r="F164" s="229">
        <v>0</v>
      </c>
      <c r="G164" s="231">
        <f t="shared" si="4"/>
        <v>55</v>
      </c>
    </row>
    <row r="165" spans="1:7" ht="15.75">
      <c r="A165" s="7"/>
      <c r="B165" s="104" t="s">
        <v>641</v>
      </c>
      <c r="C165" s="78" t="s">
        <v>66</v>
      </c>
      <c r="D165" s="78" t="s">
        <v>69</v>
      </c>
      <c r="E165" s="231">
        <v>1</v>
      </c>
      <c r="F165" s="229">
        <v>0</v>
      </c>
      <c r="G165" s="231">
        <f t="shared" si="4"/>
        <v>1</v>
      </c>
    </row>
    <row r="166" spans="1:7" ht="15.75">
      <c r="A166" s="7"/>
      <c r="B166" s="104" t="s">
        <v>663</v>
      </c>
      <c r="C166" s="78" t="s">
        <v>66</v>
      </c>
      <c r="D166" s="78" t="s">
        <v>69</v>
      </c>
      <c r="E166" s="231">
        <v>12</v>
      </c>
      <c r="F166" s="229">
        <v>0</v>
      </c>
      <c r="G166" s="231">
        <f>E166+F166</f>
        <v>12</v>
      </c>
    </row>
    <row r="167" spans="1:7" ht="31.5">
      <c r="A167" s="7"/>
      <c r="B167" s="104" t="s">
        <v>654</v>
      </c>
      <c r="C167" s="78" t="s">
        <v>66</v>
      </c>
      <c r="D167" s="78" t="s">
        <v>69</v>
      </c>
      <c r="E167" s="231">
        <v>1</v>
      </c>
      <c r="F167" s="229">
        <v>0</v>
      </c>
      <c r="G167" s="231">
        <f t="shared" si="4"/>
        <v>1</v>
      </c>
    </row>
    <row r="168" spans="1:7" ht="15.75">
      <c r="A168" s="6">
        <v>3</v>
      </c>
      <c r="B168" s="17" t="s">
        <v>269</v>
      </c>
      <c r="C168" s="6"/>
      <c r="D168" s="6"/>
      <c r="E168" s="229"/>
      <c r="F168" s="229"/>
      <c r="G168" s="230"/>
    </row>
    <row r="169" spans="1:7" ht="47.25">
      <c r="A169" s="6"/>
      <c r="B169" s="104" t="s">
        <v>487</v>
      </c>
      <c r="C169" s="78" t="s">
        <v>79</v>
      </c>
      <c r="D169" s="78" t="s">
        <v>70</v>
      </c>
      <c r="E169" s="231">
        <v>0</v>
      </c>
      <c r="F169" s="231">
        <f>F149/F159</f>
        <v>917589.125</v>
      </c>
      <c r="G169" s="232">
        <f aca="true" t="shared" si="5" ref="G169:G178">E169+F169</f>
        <v>917589.125</v>
      </c>
    </row>
    <row r="170" spans="1:7" ht="31.5">
      <c r="A170" s="6"/>
      <c r="B170" s="261" t="s">
        <v>545</v>
      </c>
      <c r="C170" s="78" t="s">
        <v>79</v>
      </c>
      <c r="D170" s="78" t="s">
        <v>70</v>
      </c>
      <c r="E170" s="231">
        <f>E150/E160</f>
        <v>1612.9032258064517</v>
      </c>
      <c r="F170" s="229">
        <v>0</v>
      </c>
      <c r="G170" s="232">
        <f t="shared" si="5"/>
        <v>1612.9032258064517</v>
      </c>
    </row>
    <row r="171" spans="1:7" ht="63">
      <c r="A171" s="6"/>
      <c r="B171" s="104" t="s">
        <v>514</v>
      </c>
      <c r="C171" s="78" t="s">
        <v>79</v>
      </c>
      <c r="D171" s="78" t="s">
        <v>70</v>
      </c>
      <c r="E171" s="231">
        <f>E151/E161</f>
        <v>7896.625</v>
      </c>
      <c r="F171" s="229">
        <v>0</v>
      </c>
      <c r="G171" s="232">
        <f t="shared" si="5"/>
        <v>7896.625</v>
      </c>
    </row>
    <row r="172" spans="1:7" ht="47.25">
      <c r="A172" s="6"/>
      <c r="B172" s="104" t="s">
        <v>515</v>
      </c>
      <c r="C172" s="78" t="s">
        <v>79</v>
      </c>
      <c r="D172" s="78" t="s">
        <v>70</v>
      </c>
      <c r="E172" s="231">
        <f>E152/E162</f>
        <v>11548</v>
      </c>
      <c r="F172" s="229">
        <v>0</v>
      </c>
      <c r="G172" s="232">
        <f t="shared" si="5"/>
        <v>11548</v>
      </c>
    </row>
    <row r="173" spans="1:7" ht="15.75" hidden="1">
      <c r="A173" s="6"/>
      <c r="B173" s="104"/>
      <c r="C173" s="78" t="s">
        <v>79</v>
      </c>
      <c r="D173" s="78" t="s">
        <v>70</v>
      </c>
      <c r="E173" s="231">
        <f>E153/E163</f>
        <v>1425</v>
      </c>
      <c r="F173" s="229">
        <v>0</v>
      </c>
      <c r="G173" s="232">
        <f t="shared" si="5"/>
        <v>1425</v>
      </c>
    </row>
    <row r="174" spans="1:7" ht="31.5">
      <c r="A174" s="6"/>
      <c r="B174" s="104" t="s">
        <v>620</v>
      </c>
      <c r="C174" s="78" t="s">
        <v>79</v>
      </c>
      <c r="D174" s="78" t="s">
        <v>70</v>
      </c>
      <c r="E174" s="231">
        <f>E153/E163</f>
        <v>1425</v>
      </c>
      <c r="F174" s="229">
        <v>0</v>
      </c>
      <c r="G174" s="232">
        <f t="shared" si="5"/>
        <v>1425</v>
      </c>
    </row>
    <row r="175" spans="1:7" ht="47.25">
      <c r="A175" s="6"/>
      <c r="B175" s="104" t="s">
        <v>621</v>
      </c>
      <c r="C175" s="78" t="s">
        <v>79</v>
      </c>
      <c r="D175" s="78" t="s">
        <v>70</v>
      </c>
      <c r="E175" s="389">
        <f>E154/E164</f>
        <v>149.07272727272726</v>
      </c>
      <c r="F175" s="229">
        <v>0</v>
      </c>
      <c r="G175" s="398">
        <f t="shared" si="5"/>
        <v>149.07272727272726</v>
      </c>
    </row>
    <row r="176" spans="1:7" ht="15.75">
      <c r="A176" s="6"/>
      <c r="B176" s="104" t="s">
        <v>642</v>
      </c>
      <c r="C176" s="78" t="s">
        <v>79</v>
      </c>
      <c r="D176" s="78" t="s">
        <v>70</v>
      </c>
      <c r="E176" s="389">
        <f>E155/E165</f>
        <v>189999</v>
      </c>
      <c r="F176" s="229">
        <v>0</v>
      </c>
      <c r="G176" s="398">
        <f t="shared" si="5"/>
        <v>189999</v>
      </c>
    </row>
    <row r="177" spans="1:7" ht="31.5">
      <c r="A177" s="6"/>
      <c r="B177" s="104" t="s">
        <v>664</v>
      </c>
      <c r="C177" s="78" t="s">
        <v>79</v>
      </c>
      <c r="D177" s="78" t="s">
        <v>70</v>
      </c>
      <c r="E177" s="389">
        <f>E156/E166</f>
        <v>2500</v>
      </c>
      <c r="F177" s="229"/>
      <c r="G177" s="398">
        <f t="shared" si="5"/>
        <v>2500</v>
      </c>
    </row>
    <row r="178" spans="1:7" ht="15.75">
      <c r="A178" s="6"/>
      <c r="B178" s="104" t="s">
        <v>655</v>
      </c>
      <c r="C178" s="78" t="s">
        <v>79</v>
      </c>
      <c r="D178" s="78" t="s">
        <v>70</v>
      </c>
      <c r="E178" s="389">
        <f>E157/E167</f>
        <v>15000</v>
      </c>
      <c r="F178" s="229">
        <v>0</v>
      </c>
      <c r="G178" s="398">
        <f t="shared" si="5"/>
        <v>15000</v>
      </c>
    </row>
    <row r="179" spans="1:7" ht="15.75" customHeight="1">
      <c r="A179" s="6">
        <v>4</v>
      </c>
      <c r="B179" s="17" t="s">
        <v>266</v>
      </c>
      <c r="C179" s="6"/>
      <c r="D179" s="6"/>
      <c r="E179" s="40"/>
      <c r="F179" s="6"/>
      <c r="G179" s="100"/>
    </row>
    <row r="180" spans="1:7" ht="31.5">
      <c r="A180" s="7"/>
      <c r="B180" s="7" t="s">
        <v>55</v>
      </c>
      <c r="C180" s="6" t="s">
        <v>71</v>
      </c>
      <c r="D180" s="6" t="s">
        <v>72</v>
      </c>
      <c r="E180" s="40">
        <v>100</v>
      </c>
      <c r="F180" s="6">
        <v>100</v>
      </c>
      <c r="G180" s="100">
        <f>F180</f>
        <v>100</v>
      </c>
    </row>
    <row r="181" spans="1:7" ht="41.25" customHeight="1">
      <c r="A181" s="133">
        <v>1</v>
      </c>
      <c r="B181" s="487" t="s">
        <v>507</v>
      </c>
      <c r="C181" s="488"/>
      <c r="D181" s="488"/>
      <c r="E181" s="488"/>
      <c r="F181" s="488"/>
      <c r="G181" s="489"/>
    </row>
    <row r="182" spans="1:7" ht="15.75" customHeight="1">
      <c r="A182" s="133"/>
      <c r="B182" s="404" t="s">
        <v>132</v>
      </c>
      <c r="C182" s="133"/>
      <c r="D182" s="133"/>
      <c r="E182" s="216"/>
      <c r="F182" s="132"/>
      <c r="G182" s="217"/>
    </row>
    <row r="183" spans="1:7" ht="109.5" customHeight="1">
      <c r="A183" s="133">
        <v>2</v>
      </c>
      <c r="B183" s="143" t="s">
        <v>548</v>
      </c>
      <c r="C183" s="133" t="s">
        <v>79</v>
      </c>
      <c r="D183" s="133" t="s">
        <v>8</v>
      </c>
      <c r="E183" s="233">
        <f>E51</f>
        <v>36401</v>
      </c>
      <c r="F183" s="234">
        <v>0</v>
      </c>
      <c r="G183" s="238">
        <f>E183+F183</f>
        <v>36401</v>
      </c>
    </row>
    <row r="184" spans="1:7" ht="15.75" customHeight="1">
      <c r="A184" s="133"/>
      <c r="B184" s="404" t="s">
        <v>88</v>
      </c>
      <c r="C184" s="133"/>
      <c r="D184" s="170"/>
      <c r="E184" s="235"/>
      <c r="F184" s="234"/>
      <c r="G184" s="238"/>
    </row>
    <row r="185" spans="1:7" ht="40.5" customHeight="1">
      <c r="A185" s="133">
        <v>3</v>
      </c>
      <c r="B185" s="143" t="s">
        <v>508</v>
      </c>
      <c r="C185" s="133" t="s">
        <v>66</v>
      </c>
      <c r="D185" s="170" t="s">
        <v>69</v>
      </c>
      <c r="E185" s="236">
        <v>11</v>
      </c>
      <c r="F185" s="234">
        <v>0</v>
      </c>
      <c r="G185" s="238">
        <v>11</v>
      </c>
    </row>
    <row r="186" spans="1:7" ht="15.75" customHeight="1">
      <c r="A186" s="133"/>
      <c r="B186" s="404" t="s">
        <v>201</v>
      </c>
      <c r="C186" s="133"/>
      <c r="D186" s="170"/>
      <c r="E186" s="235"/>
      <c r="F186" s="234"/>
      <c r="G186" s="238"/>
    </row>
    <row r="187" spans="1:7" ht="39.75" customHeight="1">
      <c r="A187" s="133">
        <v>4</v>
      </c>
      <c r="B187" s="143" t="s">
        <v>546</v>
      </c>
      <c r="C187" s="133" t="s">
        <v>79</v>
      </c>
      <c r="D187" s="170" t="s">
        <v>70</v>
      </c>
      <c r="E187" s="234">
        <f>E183/E185</f>
        <v>3309.181818181818</v>
      </c>
      <c r="F187" s="234">
        <v>0</v>
      </c>
      <c r="G187" s="238">
        <f>E187+F187</f>
        <v>3309.181818181818</v>
      </c>
    </row>
    <row r="188" spans="1:7" ht="15.75" customHeight="1">
      <c r="A188" s="133"/>
      <c r="B188" s="404" t="s">
        <v>202</v>
      </c>
      <c r="C188" s="133"/>
      <c r="D188" s="170"/>
      <c r="E188" s="167"/>
      <c r="F188" s="170"/>
      <c r="G188" s="219"/>
    </row>
    <row r="189" spans="1:7" ht="15.75" customHeight="1">
      <c r="A189" s="141"/>
      <c r="B189" s="143" t="s">
        <v>55</v>
      </c>
      <c r="C189" s="133" t="s">
        <v>71</v>
      </c>
      <c r="D189" s="170" t="s">
        <v>72</v>
      </c>
      <c r="E189" s="170">
        <v>100</v>
      </c>
      <c r="F189" s="170">
        <v>0</v>
      </c>
      <c r="G189" s="218">
        <f>E189+F189</f>
        <v>100</v>
      </c>
    </row>
    <row r="190" spans="1:7" ht="28.5" customHeight="1">
      <c r="A190" s="133">
        <v>1</v>
      </c>
      <c r="B190" s="487" t="str">
        <f>B42</f>
        <v>Завдання 4. Забезпечення противоепідемічних заходів</v>
      </c>
      <c r="C190" s="488"/>
      <c r="D190" s="488"/>
      <c r="E190" s="488"/>
      <c r="F190" s="488"/>
      <c r="G190" s="489"/>
    </row>
    <row r="191" spans="1:7" ht="18.75" customHeight="1">
      <c r="A191" s="133"/>
      <c r="B191" s="404" t="s">
        <v>132</v>
      </c>
      <c r="C191" s="133"/>
      <c r="D191" s="133"/>
      <c r="E191" s="293">
        <f>SUM(E192:E198)</f>
        <v>2343008.3</v>
      </c>
      <c r="F191" s="293">
        <f>SUM(F192:F198)</f>
        <v>1029202.13</v>
      </c>
      <c r="G191" s="293">
        <f>SUM(G192:G198)</f>
        <v>3372210.4299999997</v>
      </c>
    </row>
    <row r="192" spans="1:7" ht="47.25">
      <c r="A192" s="133">
        <v>2</v>
      </c>
      <c r="B192" s="143" t="s">
        <v>596</v>
      </c>
      <c r="C192" s="133" t="s">
        <v>79</v>
      </c>
      <c r="D192" s="133" t="s">
        <v>8</v>
      </c>
      <c r="E192" s="294">
        <f>350000+60000+600000+37310+94450+300000+300000+4883.1</f>
        <v>1746643.1</v>
      </c>
      <c r="F192" s="295">
        <v>0</v>
      </c>
      <c r="G192" s="281">
        <f aca="true" t="shared" si="6" ref="G192:G198">E192+F192</f>
        <v>1746643.1</v>
      </c>
    </row>
    <row r="193" spans="1:7" ht="31.5">
      <c r="A193" s="133"/>
      <c r="B193" s="143" t="s">
        <v>565</v>
      </c>
      <c r="C193" s="133" t="s">
        <v>79</v>
      </c>
      <c r="D193" s="133" t="s">
        <v>8</v>
      </c>
      <c r="E193" s="294">
        <f>83327+45</f>
        <v>83372</v>
      </c>
      <c r="F193" s="295">
        <v>0</v>
      </c>
      <c r="G193" s="281">
        <f t="shared" si="6"/>
        <v>83372</v>
      </c>
    </row>
    <row r="194" spans="1:7" ht="31.5">
      <c r="A194" s="133"/>
      <c r="B194" s="143" t="s">
        <v>582</v>
      </c>
      <c r="C194" s="133" t="s">
        <v>79</v>
      </c>
      <c r="D194" s="133" t="s">
        <v>8</v>
      </c>
      <c r="E194" s="294">
        <f>37072+18200</f>
        <v>55272</v>
      </c>
      <c r="F194" s="295">
        <v>0</v>
      </c>
      <c r="G194" s="281">
        <f t="shared" si="6"/>
        <v>55272</v>
      </c>
    </row>
    <row r="195" spans="1:7" ht="47.25">
      <c r="A195" s="133"/>
      <c r="B195" s="143" t="s">
        <v>599</v>
      </c>
      <c r="C195" s="133" t="s">
        <v>79</v>
      </c>
      <c r="D195" s="133" t="s">
        <v>8</v>
      </c>
      <c r="E195" s="294">
        <f>44746.2+12690+84425</f>
        <v>141861.2</v>
      </c>
      <c r="F195" s="295">
        <v>0</v>
      </c>
      <c r="G195" s="281">
        <f t="shared" si="6"/>
        <v>141861.2</v>
      </c>
    </row>
    <row r="196" spans="1:7" ht="47.25">
      <c r="A196" s="133"/>
      <c r="B196" s="143" t="s">
        <v>604</v>
      </c>
      <c r="C196" s="133" t="s">
        <v>79</v>
      </c>
      <c r="D196" s="133" t="s">
        <v>8</v>
      </c>
      <c r="E196" s="294">
        <v>36300</v>
      </c>
      <c r="F196" s="295">
        <v>0</v>
      </c>
      <c r="G196" s="281">
        <f t="shared" si="6"/>
        <v>36300</v>
      </c>
    </row>
    <row r="197" spans="1:7" ht="47.25">
      <c r="A197" s="133"/>
      <c r="B197" s="143" t="s">
        <v>669</v>
      </c>
      <c r="C197" s="133" t="s">
        <v>79</v>
      </c>
      <c r="D197" s="133" t="s">
        <v>8</v>
      </c>
      <c r="E197" s="294">
        <v>180000</v>
      </c>
      <c r="F197" s="295">
        <v>0</v>
      </c>
      <c r="G197" s="281">
        <f>E197+F197</f>
        <v>180000</v>
      </c>
    </row>
    <row r="198" spans="1:7" ht="31.5">
      <c r="A198" s="133"/>
      <c r="B198" s="143" t="s">
        <v>605</v>
      </c>
      <c r="C198" s="133" t="s">
        <v>79</v>
      </c>
      <c r="D198" s="133" t="s">
        <v>8</v>
      </c>
      <c r="E198" s="294">
        <v>99560</v>
      </c>
      <c r="F198" s="295">
        <f>33720+30000+40980+787515.13+136987</f>
        <v>1029202.13</v>
      </c>
      <c r="G198" s="281">
        <f t="shared" si="6"/>
        <v>1128762.13</v>
      </c>
    </row>
    <row r="199" spans="1:7" ht="15.75">
      <c r="A199" s="133"/>
      <c r="B199" s="404" t="s">
        <v>88</v>
      </c>
      <c r="C199" s="133"/>
      <c r="D199" s="170"/>
      <c r="E199" s="283"/>
      <c r="F199" s="234"/>
      <c r="G199" s="280"/>
    </row>
    <row r="200" spans="1:7" ht="31.5">
      <c r="A200" s="133">
        <v>3</v>
      </c>
      <c r="B200" s="143" t="s">
        <v>597</v>
      </c>
      <c r="C200" s="133" t="s">
        <v>66</v>
      </c>
      <c r="D200" s="170" t="s">
        <v>69</v>
      </c>
      <c r="E200" s="284">
        <f>700+1200+260+13022</f>
        <v>15182</v>
      </c>
      <c r="F200" s="238">
        <v>0</v>
      </c>
      <c r="G200" s="281">
        <f aca="true" t="shared" si="7" ref="G200:G216">E200+F200</f>
        <v>15182</v>
      </c>
    </row>
    <row r="201" spans="1:7" ht="15.75">
      <c r="A201" s="133"/>
      <c r="B201" s="143" t="s">
        <v>566</v>
      </c>
      <c r="C201" s="133" t="s">
        <v>698</v>
      </c>
      <c r="D201" s="170" t="s">
        <v>69</v>
      </c>
      <c r="E201" s="284">
        <v>19</v>
      </c>
      <c r="F201" s="238">
        <v>0</v>
      </c>
      <c r="G201" s="281">
        <f t="shared" si="7"/>
        <v>19</v>
      </c>
    </row>
    <row r="202" spans="1:7" ht="15.75">
      <c r="A202" s="133"/>
      <c r="B202" s="143" t="s">
        <v>583</v>
      </c>
      <c r="C202" s="133" t="s">
        <v>66</v>
      </c>
      <c r="D202" s="170" t="s">
        <v>69</v>
      </c>
      <c r="E202" s="284">
        <f>1400+700</f>
        <v>2100</v>
      </c>
      <c r="F202" s="238"/>
      <c r="G202" s="281">
        <f t="shared" si="7"/>
        <v>2100</v>
      </c>
    </row>
    <row r="203" spans="1:7" ht="31.5">
      <c r="A203" s="133"/>
      <c r="B203" s="143" t="s">
        <v>600</v>
      </c>
      <c r="C203" s="133" t="s">
        <v>66</v>
      </c>
      <c r="D203" s="170" t="s">
        <v>69</v>
      </c>
      <c r="E203" s="284">
        <f>912+27</f>
        <v>939</v>
      </c>
      <c r="F203" s="238">
        <v>0</v>
      </c>
      <c r="G203" s="281">
        <f>E203+F203</f>
        <v>939</v>
      </c>
    </row>
    <row r="204" spans="1:7" ht="15.75">
      <c r="A204" s="133"/>
      <c r="B204" s="143" t="s">
        <v>606</v>
      </c>
      <c r="C204" s="133" t="s">
        <v>66</v>
      </c>
      <c r="D204" s="170" t="s">
        <v>69</v>
      </c>
      <c r="E204" s="284">
        <v>3</v>
      </c>
      <c r="F204" s="238">
        <v>0</v>
      </c>
      <c r="G204" s="281">
        <f>E204+F204</f>
        <v>3</v>
      </c>
    </row>
    <row r="205" spans="1:7" ht="15.75">
      <c r="A205" s="133"/>
      <c r="B205" s="143" t="s">
        <v>670</v>
      </c>
      <c r="C205" s="133" t="s">
        <v>66</v>
      </c>
      <c r="D205" s="170" t="s">
        <v>69</v>
      </c>
      <c r="E205" s="284">
        <v>450</v>
      </c>
      <c r="F205" s="238">
        <v>0</v>
      </c>
      <c r="G205" s="281">
        <f>E205+F205</f>
        <v>450</v>
      </c>
    </row>
    <row r="206" spans="1:7" ht="31.5">
      <c r="A206" s="133"/>
      <c r="B206" s="143" t="s">
        <v>608</v>
      </c>
      <c r="C206" s="133" t="s">
        <v>66</v>
      </c>
      <c r="D206" s="170" t="s">
        <v>69</v>
      </c>
      <c r="E206" s="284">
        <v>28</v>
      </c>
      <c r="F206" s="238">
        <f>4+1+2+30</f>
        <v>37</v>
      </c>
      <c r="G206" s="281">
        <f>E206+F206</f>
        <v>65</v>
      </c>
    </row>
    <row r="207" spans="1:7" ht="15.75">
      <c r="A207" s="133"/>
      <c r="B207" s="404" t="s">
        <v>201</v>
      </c>
      <c r="C207" s="133"/>
      <c r="D207" s="170"/>
      <c r="E207" s="284"/>
      <c r="F207" s="238"/>
      <c r="G207" s="280">
        <f t="shared" si="7"/>
        <v>0</v>
      </c>
    </row>
    <row r="208" spans="1:7" ht="47.25">
      <c r="A208" s="133"/>
      <c r="B208" s="143" t="s">
        <v>598</v>
      </c>
      <c r="C208" s="133" t="s">
        <v>79</v>
      </c>
      <c r="D208" s="170" t="s">
        <v>70</v>
      </c>
      <c r="E208" s="285">
        <f aca="true" t="shared" si="8" ref="E208:E214">E192/E200</f>
        <v>115.04697009616652</v>
      </c>
      <c r="F208" s="238">
        <v>0</v>
      </c>
      <c r="G208" s="280">
        <f t="shared" si="7"/>
        <v>115.04697009616652</v>
      </c>
    </row>
    <row r="209" spans="1:7" ht="31.5">
      <c r="A209" s="133">
        <v>4</v>
      </c>
      <c r="B209" s="143" t="s">
        <v>699</v>
      </c>
      <c r="C209" s="133" t="s">
        <v>79</v>
      </c>
      <c r="D209" s="170" t="s">
        <v>70</v>
      </c>
      <c r="E209" s="282">
        <f t="shared" si="8"/>
        <v>4388</v>
      </c>
      <c r="F209" s="238">
        <v>0</v>
      </c>
      <c r="G209" s="280">
        <f t="shared" si="7"/>
        <v>4388</v>
      </c>
    </row>
    <row r="210" spans="1:7" ht="15.75">
      <c r="A210" s="133"/>
      <c r="B210" s="143" t="s">
        <v>584</v>
      </c>
      <c r="C210" s="133" t="s">
        <v>79</v>
      </c>
      <c r="D210" s="170" t="s">
        <v>70</v>
      </c>
      <c r="E210" s="282">
        <f t="shared" si="8"/>
        <v>26.32</v>
      </c>
      <c r="F210" s="238">
        <v>0</v>
      </c>
      <c r="G210" s="280">
        <f t="shared" si="7"/>
        <v>26.32</v>
      </c>
    </row>
    <row r="211" spans="1:7" ht="47.25">
      <c r="A211" s="133"/>
      <c r="B211" s="143" t="s">
        <v>601</v>
      </c>
      <c r="C211" s="133" t="s">
        <v>79</v>
      </c>
      <c r="D211" s="170" t="s">
        <v>70</v>
      </c>
      <c r="E211" s="285">
        <f t="shared" si="8"/>
        <v>151.0768903088392</v>
      </c>
      <c r="F211" s="238">
        <v>0</v>
      </c>
      <c r="G211" s="280">
        <f t="shared" si="7"/>
        <v>151.0768903088392</v>
      </c>
    </row>
    <row r="212" spans="1:7" ht="15.75">
      <c r="A212" s="133"/>
      <c r="B212" s="143" t="s">
        <v>607</v>
      </c>
      <c r="C212" s="133" t="s">
        <v>79</v>
      </c>
      <c r="D212" s="170" t="s">
        <v>70</v>
      </c>
      <c r="E212" s="285">
        <f t="shared" si="8"/>
        <v>12100</v>
      </c>
      <c r="F212" s="238">
        <v>0</v>
      </c>
      <c r="G212" s="280">
        <f t="shared" si="7"/>
        <v>12100</v>
      </c>
    </row>
    <row r="213" spans="1:7" ht="15.75">
      <c r="A213" s="133"/>
      <c r="B213" s="143" t="s">
        <v>671</v>
      </c>
      <c r="C213" s="133" t="s">
        <v>79</v>
      </c>
      <c r="D213" s="170" t="s">
        <v>70</v>
      </c>
      <c r="E213" s="285">
        <f t="shared" si="8"/>
        <v>400</v>
      </c>
      <c r="F213" s="238">
        <v>0</v>
      </c>
      <c r="G213" s="280">
        <f>E213+F213</f>
        <v>400</v>
      </c>
    </row>
    <row r="214" spans="1:7" ht="47.25">
      <c r="A214" s="133"/>
      <c r="B214" s="143" t="s">
        <v>609</v>
      </c>
      <c r="C214" s="133" t="s">
        <v>79</v>
      </c>
      <c r="D214" s="170" t="s">
        <v>70</v>
      </c>
      <c r="E214" s="285">
        <f t="shared" si="8"/>
        <v>3555.714285714286</v>
      </c>
      <c r="F214" s="285">
        <f>F198/F206</f>
        <v>27816.273783783785</v>
      </c>
      <c r="G214" s="280">
        <f>E214+F214-0.01</f>
        <v>31371.978069498073</v>
      </c>
    </row>
    <row r="215" spans="1:7" ht="15.75">
      <c r="A215" s="133"/>
      <c r="B215" s="404" t="s">
        <v>202</v>
      </c>
      <c r="C215" s="133"/>
      <c r="D215" s="170"/>
      <c r="E215" s="167"/>
      <c r="F215" s="170"/>
      <c r="G215" s="280">
        <f t="shared" si="7"/>
        <v>0</v>
      </c>
    </row>
    <row r="216" spans="1:7" ht="31.5">
      <c r="A216" s="141"/>
      <c r="B216" s="143" t="s">
        <v>55</v>
      </c>
      <c r="C216" s="133" t="s">
        <v>71</v>
      </c>
      <c r="D216" s="170" t="s">
        <v>72</v>
      </c>
      <c r="E216" s="170">
        <v>100</v>
      </c>
      <c r="F216" s="170">
        <v>100</v>
      </c>
      <c r="G216" s="280">
        <f t="shared" si="7"/>
        <v>200</v>
      </c>
    </row>
    <row r="217" spans="1:7" ht="15.75">
      <c r="A217" s="3"/>
      <c r="B217" s="142"/>
      <c r="C217" s="141"/>
      <c r="D217" s="141"/>
      <c r="E217" s="141"/>
      <c r="F217" s="141"/>
      <c r="G217" s="141"/>
    </row>
    <row r="218" ht="15.75">
      <c r="A218" s="3" t="s">
        <v>73</v>
      </c>
    </row>
    <row r="219" spans="1:7" ht="15.75">
      <c r="A219" s="85"/>
      <c r="B219" s="3"/>
      <c r="C219" s="3"/>
      <c r="D219" s="8"/>
      <c r="E219" s="75"/>
      <c r="F219" s="430" t="s">
        <v>74</v>
      </c>
      <c r="G219" s="430"/>
    </row>
    <row r="220" spans="1:7" ht="15.75">
      <c r="A220" s="226"/>
      <c r="B220" s="85"/>
      <c r="C220" s="85"/>
      <c r="D220" s="5" t="s">
        <v>203</v>
      </c>
      <c r="E220" s="86"/>
      <c r="F220" s="472" t="s">
        <v>75</v>
      </c>
      <c r="G220" s="473"/>
    </row>
    <row r="221" spans="1:7" ht="15.75" customHeight="1">
      <c r="A221" s="474" t="s">
        <v>204</v>
      </c>
      <c r="B221" s="474"/>
      <c r="C221" s="85"/>
      <c r="D221" s="2"/>
      <c r="E221" s="85"/>
      <c r="F221" s="85"/>
      <c r="G221" s="85"/>
    </row>
    <row r="222" spans="1:7" ht="15.75" customHeight="1">
      <c r="A222" s="3" t="s">
        <v>281</v>
      </c>
      <c r="B222" s="227"/>
      <c r="C222" s="85"/>
      <c r="E222" s="85"/>
      <c r="F222" s="85"/>
      <c r="G222" s="85"/>
    </row>
    <row r="223" spans="1:7" ht="15.75">
      <c r="A223" s="3" t="s">
        <v>286</v>
      </c>
      <c r="B223" s="3"/>
      <c r="C223" s="3"/>
      <c r="D223" s="8"/>
      <c r="E223" s="75"/>
      <c r="F223" s="430" t="s">
        <v>76</v>
      </c>
      <c r="G223" s="430"/>
    </row>
    <row r="224" spans="1:7" ht="15.75">
      <c r="A224" s="3"/>
      <c r="B224" s="85"/>
      <c r="C224" s="85"/>
      <c r="D224" s="5" t="s">
        <v>203</v>
      </c>
      <c r="E224" s="5"/>
      <c r="F224" s="431" t="s">
        <v>75</v>
      </c>
      <c r="G224" s="432"/>
    </row>
    <row r="225" spans="1:7" ht="15.75">
      <c r="A225" s="1"/>
      <c r="B225" s="85"/>
      <c r="C225" s="85"/>
      <c r="D225" s="5"/>
      <c r="E225" s="5"/>
      <c r="F225" s="97"/>
      <c r="G225" s="400"/>
    </row>
    <row r="226" spans="2:7" ht="15.75">
      <c r="B226" s="91" t="s">
        <v>161</v>
      </c>
      <c r="C226" s="2"/>
      <c r="F226" s="475"/>
      <c r="G226" s="475"/>
    </row>
    <row r="227" ht="15">
      <c r="B227" s="92" t="s">
        <v>162</v>
      </c>
    </row>
    <row r="228" ht="15">
      <c r="B228" s="23" t="s">
        <v>163</v>
      </c>
    </row>
  </sheetData>
  <sheetProtection/>
  <mergeCells count="50">
    <mergeCell ref="E1:G1"/>
    <mergeCell ref="E4:G4"/>
    <mergeCell ref="E5:G5"/>
    <mergeCell ref="E6:G6"/>
    <mergeCell ref="E7:G7"/>
    <mergeCell ref="A9:G9"/>
    <mergeCell ref="A10:G10"/>
    <mergeCell ref="D12:F12"/>
    <mergeCell ref="D13:E13"/>
    <mergeCell ref="D14:F14"/>
    <mergeCell ref="D15:E15"/>
    <mergeCell ref="E16:F16"/>
    <mergeCell ref="E17:F17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9:G29"/>
    <mergeCell ref="B30:G30"/>
    <mergeCell ref="B31:G31"/>
    <mergeCell ref="B32:G32"/>
    <mergeCell ref="B33:G33"/>
    <mergeCell ref="B35:G35"/>
    <mergeCell ref="B36:D36"/>
    <mergeCell ref="B38:G38"/>
    <mergeCell ref="B39:G39"/>
    <mergeCell ref="B40:G40"/>
    <mergeCell ref="B41:G41"/>
    <mergeCell ref="B42:G42"/>
    <mergeCell ref="A44:A45"/>
    <mergeCell ref="B44:G44"/>
    <mergeCell ref="A53:B53"/>
    <mergeCell ref="A56:A57"/>
    <mergeCell ref="B56:G56"/>
    <mergeCell ref="B65:G65"/>
    <mergeCell ref="B69:G69"/>
    <mergeCell ref="B147:G147"/>
    <mergeCell ref="F224:G224"/>
    <mergeCell ref="F226:G226"/>
    <mergeCell ref="B181:G181"/>
    <mergeCell ref="B190:G190"/>
    <mergeCell ref="F219:G219"/>
    <mergeCell ref="F220:G220"/>
    <mergeCell ref="A221:B221"/>
    <mergeCell ref="F223:G223"/>
  </mergeCells>
  <printOptions horizontalCentered="1" verticalCentered="1"/>
  <pageMargins left="0.1968503937007874" right="0.15748031496062992" top="1.1811023622047245" bottom="0.2755905511811024" header="0.31496062992125984" footer="0.31496062992125984"/>
  <pageSetup fitToHeight="12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98"/>
  <sheetViews>
    <sheetView zoomScalePageLayoutView="0" workbookViewId="0" topLeftCell="A79">
      <selection activeCell="A89" sqref="A89:G99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16384" width="21.57421875" style="4" customWidth="1"/>
  </cols>
  <sheetData>
    <row r="1" spans="5:7" ht="67.5" customHeight="1">
      <c r="E1" s="499" t="s">
        <v>245</v>
      </c>
      <c r="F1" s="499"/>
      <c r="G1" s="499"/>
    </row>
    <row r="2" spans="1:5" ht="15" customHeight="1">
      <c r="A2" s="1"/>
      <c r="E2" s="1"/>
    </row>
    <row r="3" spans="1:5" ht="15" customHeight="1">
      <c r="A3" s="1"/>
      <c r="E3" s="1" t="s">
        <v>166</v>
      </c>
    </row>
    <row r="4" spans="1:7" ht="15.75" customHeight="1">
      <c r="A4" s="1"/>
      <c r="E4" s="468" t="s">
        <v>216</v>
      </c>
      <c r="F4" s="468"/>
      <c r="G4" s="468"/>
    </row>
    <row r="5" spans="1:7" ht="15" customHeight="1">
      <c r="A5" s="1"/>
      <c r="B5" s="1"/>
      <c r="E5" s="485" t="s">
        <v>207</v>
      </c>
      <c r="F5" s="485"/>
      <c r="G5" s="485"/>
    </row>
    <row r="6" spans="1:7" ht="15" customHeight="1">
      <c r="A6" s="1"/>
      <c r="E6" s="486" t="s">
        <v>167</v>
      </c>
      <c r="F6" s="486"/>
      <c r="G6" s="486"/>
    </row>
    <row r="7" spans="5:7" ht="15">
      <c r="E7" s="443" t="s">
        <v>94</v>
      </c>
      <c r="F7" s="471"/>
      <c r="G7" s="471"/>
    </row>
    <row r="9" spans="1:7" ht="15.75">
      <c r="A9" s="455" t="s">
        <v>168</v>
      </c>
      <c r="B9" s="455"/>
      <c r="C9" s="455"/>
      <c r="D9" s="455"/>
      <c r="E9" s="455"/>
      <c r="F9" s="455"/>
      <c r="G9" s="455"/>
    </row>
    <row r="10" spans="1:7" ht="15.75">
      <c r="A10" s="455" t="s">
        <v>315</v>
      </c>
      <c r="B10" s="455"/>
      <c r="C10" s="455"/>
      <c r="D10" s="455"/>
      <c r="E10" s="455"/>
      <c r="F10" s="455"/>
      <c r="G10" s="455"/>
    </row>
    <row r="11" spans="1:7" ht="15.75">
      <c r="A11" s="156"/>
      <c r="B11" s="156"/>
      <c r="C11" s="156"/>
      <c r="D11" s="156"/>
      <c r="E11" s="156"/>
      <c r="F11" s="156"/>
      <c r="G11" s="156"/>
    </row>
    <row r="12" spans="1:7" ht="15" customHeight="1">
      <c r="A12" s="214" t="s">
        <v>304</v>
      </c>
      <c r="B12" s="402" t="s">
        <v>478</v>
      </c>
      <c r="C12" s="210"/>
      <c r="D12" s="456" t="s">
        <v>207</v>
      </c>
      <c r="E12" s="457"/>
      <c r="F12" s="458"/>
      <c r="G12" s="190">
        <v>38068238</v>
      </c>
    </row>
    <row r="13" spans="2:7" ht="30.75" customHeight="1">
      <c r="B13" s="401" t="s">
        <v>308</v>
      </c>
      <c r="C13" s="196"/>
      <c r="D13" s="459" t="s">
        <v>167</v>
      </c>
      <c r="E13" s="459"/>
      <c r="F13" s="212"/>
      <c r="G13" s="192" t="s">
        <v>305</v>
      </c>
    </row>
    <row r="14" spans="1:7" ht="15" customHeight="1">
      <c r="A14" s="213" t="s">
        <v>306</v>
      </c>
      <c r="B14" s="402" t="s">
        <v>479</v>
      </c>
      <c r="C14" s="211"/>
      <c r="D14" s="460" t="s">
        <v>207</v>
      </c>
      <c r="E14" s="461"/>
      <c r="F14" s="462"/>
      <c r="G14" s="193">
        <v>38068238</v>
      </c>
    </row>
    <row r="15" spans="1:7" ht="41.25" customHeight="1">
      <c r="A15" s="213"/>
      <c r="B15" s="401" t="s">
        <v>308</v>
      </c>
      <c r="C15" s="196"/>
      <c r="D15" s="463" t="s">
        <v>205</v>
      </c>
      <c r="E15" s="463"/>
      <c r="F15" s="212"/>
      <c r="G15" s="192" t="s">
        <v>305</v>
      </c>
    </row>
    <row r="16" spans="1:7" ht="42" customHeight="1">
      <c r="A16" s="194" t="s">
        <v>307</v>
      </c>
      <c r="B16" s="402" t="s">
        <v>319</v>
      </c>
      <c r="C16" s="402" t="s">
        <v>318</v>
      </c>
      <c r="D16" s="402" t="s">
        <v>77</v>
      </c>
      <c r="E16" s="464" t="s">
        <v>320</v>
      </c>
      <c r="F16" s="465"/>
      <c r="G16" s="402" t="s">
        <v>477</v>
      </c>
    </row>
    <row r="17" spans="1:7" ht="60.75" customHeight="1">
      <c r="A17" s="195"/>
      <c r="B17" s="196" t="s">
        <v>308</v>
      </c>
      <c r="C17" s="401" t="s">
        <v>309</v>
      </c>
      <c r="D17" s="191" t="s">
        <v>310</v>
      </c>
      <c r="E17" s="454" t="s">
        <v>311</v>
      </c>
      <c r="F17" s="454"/>
      <c r="G17" s="401" t="s">
        <v>312</v>
      </c>
    </row>
    <row r="18" spans="1:7" ht="15.75">
      <c r="A18" s="156"/>
      <c r="B18" s="156"/>
      <c r="C18" s="156"/>
      <c r="D18" s="156"/>
      <c r="E18" s="156"/>
      <c r="F18" s="156"/>
      <c r="G18" s="156"/>
    </row>
    <row r="19" spans="1:7" ht="51" customHeight="1">
      <c r="A19" s="2" t="s">
        <v>172</v>
      </c>
      <c r="B19" s="9" t="s">
        <v>210</v>
      </c>
      <c r="C19" s="95">
        <f>E19+G19</f>
        <v>2014877.5499999998</v>
      </c>
      <c r="D19" s="9" t="s">
        <v>43</v>
      </c>
      <c r="E19" s="95">
        <f>286600+145930.55+200000+392623+915000-269976+464700-120000</f>
        <v>2014877.5499999998</v>
      </c>
      <c r="F19" s="9" t="s">
        <v>44</v>
      </c>
      <c r="G19" s="10">
        <v>0</v>
      </c>
    </row>
    <row r="20" spans="1:7" ht="15.75">
      <c r="A20" s="2" t="s">
        <v>9</v>
      </c>
      <c r="B20" s="436" t="s">
        <v>209</v>
      </c>
      <c r="C20" s="436"/>
      <c r="D20" s="436"/>
      <c r="E20" s="436"/>
      <c r="F20" s="436"/>
      <c r="G20" s="436"/>
    </row>
    <row r="21" spans="1:7" ht="17.25" customHeight="1">
      <c r="A21" s="2"/>
      <c r="B21" s="436" t="s">
        <v>211</v>
      </c>
      <c r="C21" s="436"/>
      <c r="D21" s="436"/>
      <c r="E21" s="436"/>
      <c r="F21" s="436"/>
      <c r="G21" s="436"/>
    </row>
    <row r="22" spans="1:7" ht="18" customHeight="1">
      <c r="A22" s="2"/>
      <c r="B22" s="436" t="s">
        <v>215</v>
      </c>
      <c r="C22" s="436"/>
      <c r="D22" s="436"/>
      <c r="E22" s="436"/>
      <c r="F22" s="436"/>
      <c r="G22" s="436"/>
    </row>
    <row r="23" spans="1:7" ht="18.75" customHeight="1">
      <c r="A23" s="2"/>
      <c r="B23" s="436" t="s">
        <v>316</v>
      </c>
      <c r="C23" s="436"/>
      <c r="D23" s="436"/>
      <c r="E23" s="436"/>
      <c r="F23" s="436"/>
      <c r="G23" s="436"/>
    </row>
    <row r="24" spans="1:7" ht="36.75" customHeight="1">
      <c r="A24" s="2"/>
      <c r="B24" s="436" t="s">
        <v>144</v>
      </c>
      <c r="C24" s="436"/>
      <c r="D24" s="436"/>
      <c r="E24" s="436"/>
      <c r="F24" s="436"/>
      <c r="G24" s="436"/>
    </row>
    <row r="25" spans="1:7" ht="16.5" customHeight="1">
      <c r="A25" s="2"/>
      <c r="B25" s="450" t="s">
        <v>481</v>
      </c>
      <c r="C25" s="450"/>
      <c r="D25" s="450"/>
      <c r="E25" s="450"/>
      <c r="F25" s="450"/>
      <c r="G25" s="450"/>
    </row>
    <row r="26" spans="1:7" ht="33.75" customHeight="1">
      <c r="A26" s="2"/>
      <c r="B26" s="450" t="s">
        <v>494</v>
      </c>
      <c r="C26" s="450"/>
      <c r="D26" s="450"/>
      <c r="E26" s="450"/>
      <c r="F26" s="450"/>
      <c r="G26" s="450"/>
    </row>
    <row r="27" spans="1:7" ht="15.75" customHeight="1">
      <c r="A27" s="2"/>
      <c r="B27" s="107"/>
      <c r="C27" s="107"/>
      <c r="D27" s="107"/>
      <c r="E27" s="107"/>
      <c r="F27" s="107"/>
      <c r="G27" s="107"/>
    </row>
    <row r="28" spans="1:7" ht="23.25" customHeight="1">
      <c r="A28" s="2" t="s">
        <v>10</v>
      </c>
      <c r="B28" s="436" t="s">
        <v>41</v>
      </c>
      <c r="C28" s="436"/>
      <c r="D28" s="436"/>
      <c r="E28" s="436"/>
      <c r="F28" s="436"/>
      <c r="G28" s="436"/>
    </row>
    <row r="29" spans="1:7" ht="21" customHeight="1">
      <c r="A29" s="6"/>
      <c r="B29" s="451" t="s">
        <v>234</v>
      </c>
      <c r="C29" s="452"/>
      <c r="D29" s="452"/>
      <c r="E29" s="452"/>
      <c r="F29" s="452"/>
      <c r="G29" s="453"/>
    </row>
    <row r="30" spans="1:7" ht="39.75" customHeight="1">
      <c r="A30" s="6">
        <v>1</v>
      </c>
      <c r="B30" s="445" t="s">
        <v>321</v>
      </c>
      <c r="C30" s="446"/>
      <c r="D30" s="446"/>
      <c r="E30" s="446"/>
      <c r="F30" s="446"/>
      <c r="G30" s="447"/>
    </row>
    <row r="31" spans="1:7" ht="14.25" customHeight="1">
      <c r="A31" s="16"/>
      <c r="B31" s="50"/>
      <c r="C31" s="50"/>
      <c r="D31" s="50"/>
      <c r="E31" s="50"/>
      <c r="F31" s="50"/>
      <c r="G31" s="50"/>
    </row>
    <row r="32" spans="1:7" ht="44.25" customHeight="1">
      <c r="A32" s="2" t="s">
        <v>11</v>
      </c>
      <c r="B32" s="436" t="s">
        <v>222</v>
      </c>
      <c r="C32" s="436"/>
      <c r="D32" s="436"/>
      <c r="E32" s="436"/>
      <c r="F32" s="436"/>
      <c r="G32" s="436"/>
    </row>
    <row r="33" spans="1:4" ht="31.5" customHeight="1">
      <c r="A33" s="2" t="s">
        <v>15</v>
      </c>
      <c r="B33" s="443" t="s">
        <v>12</v>
      </c>
      <c r="C33" s="443"/>
      <c r="D33" s="443"/>
    </row>
    <row r="34" ht="13.5" customHeight="1">
      <c r="A34" s="3"/>
    </row>
    <row r="35" spans="1:7" ht="15.75">
      <c r="A35" s="6" t="s">
        <v>13</v>
      </c>
      <c r="B35" s="444" t="s">
        <v>14</v>
      </c>
      <c r="C35" s="444"/>
      <c r="D35" s="444"/>
      <c r="E35" s="444"/>
      <c r="F35" s="444"/>
      <c r="G35" s="444"/>
    </row>
    <row r="36" spans="1:7" ht="19.5" customHeight="1">
      <c r="A36" s="6" t="s">
        <v>169</v>
      </c>
      <c r="B36" s="498" t="s">
        <v>223</v>
      </c>
      <c r="C36" s="498"/>
      <c r="D36" s="498"/>
      <c r="E36" s="498"/>
      <c r="F36" s="498"/>
      <c r="G36" s="498"/>
    </row>
    <row r="37" spans="1:7" ht="21" customHeight="1">
      <c r="A37" s="6" t="s">
        <v>170</v>
      </c>
      <c r="B37" s="498" t="s">
        <v>224</v>
      </c>
      <c r="C37" s="498"/>
      <c r="D37" s="498"/>
      <c r="E37" s="498"/>
      <c r="F37" s="498"/>
      <c r="G37" s="498"/>
    </row>
    <row r="38" ht="15.75">
      <c r="A38" s="3"/>
    </row>
    <row r="39" spans="1:7" ht="15.75">
      <c r="A39" s="435" t="s">
        <v>22</v>
      </c>
      <c r="B39" s="436" t="s">
        <v>16</v>
      </c>
      <c r="C39" s="436"/>
      <c r="D39" s="436"/>
      <c r="E39" s="436"/>
      <c r="F39" s="436"/>
      <c r="G39" s="436"/>
    </row>
    <row r="40" spans="1:2" ht="15.75">
      <c r="A40" s="435"/>
      <c r="B40" s="1" t="s">
        <v>17</v>
      </c>
    </row>
    <row r="41" ht="15.75">
      <c r="A41" s="3"/>
    </row>
    <row r="42" spans="1:5" ht="31.5">
      <c r="A42" s="6" t="s">
        <v>13</v>
      </c>
      <c r="B42" s="6" t="s">
        <v>18</v>
      </c>
      <c r="C42" s="6" t="s">
        <v>19</v>
      </c>
      <c r="D42" s="6" t="s">
        <v>20</v>
      </c>
      <c r="E42" s="6" t="s">
        <v>21</v>
      </c>
    </row>
    <row r="43" spans="1:5" ht="15.75">
      <c r="A43" s="6">
        <v>1</v>
      </c>
      <c r="B43" s="6">
        <v>2</v>
      </c>
      <c r="C43" s="6">
        <v>3</v>
      </c>
      <c r="D43" s="6">
        <v>4</v>
      </c>
      <c r="E43" s="6">
        <v>6</v>
      </c>
    </row>
    <row r="44" spans="1:5" ht="45">
      <c r="A44" s="6" t="s">
        <v>169</v>
      </c>
      <c r="B44" s="12" t="s">
        <v>90</v>
      </c>
      <c r="C44" s="13">
        <f>E19-C45</f>
        <v>2003477.5499999998</v>
      </c>
      <c r="D44" s="13">
        <v>0</v>
      </c>
      <c r="E44" s="13">
        <f>C44+D44</f>
        <v>2003477.5499999998</v>
      </c>
    </row>
    <row r="45" spans="1:5" ht="45">
      <c r="A45" s="6" t="s">
        <v>170</v>
      </c>
      <c r="B45" s="12" t="s">
        <v>91</v>
      </c>
      <c r="C45" s="13">
        <v>11400</v>
      </c>
      <c r="D45" s="13">
        <v>0</v>
      </c>
      <c r="E45" s="13">
        <f>C45+D45</f>
        <v>11400</v>
      </c>
    </row>
    <row r="46" spans="1:5" ht="15.75" customHeight="1">
      <c r="A46" s="496" t="s">
        <v>21</v>
      </c>
      <c r="B46" s="497"/>
      <c r="C46" s="14">
        <f>SUM(C44:C45)</f>
        <v>2014877.5499999998</v>
      </c>
      <c r="D46" s="14">
        <f>SUM(D44:D44)</f>
        <v>0</v>
      </c>
      <c r="E46" s="14">
        <f>C46+D46</f>
        <v>2014877.5499999998</v>
      </c>
    </row>
    <row r="47" ht="15.75" customHeight="1">
      <c r="A47" s="3"/>
    </row>
    <row r="48" ht="15.75">
      <c r="A48" s="3"/>
    </row>
    <row r="49" spans="1:7" ht="15.75">
      <c r="A49" s="435" t="s">
        <v>194</v>
      </c>
      <c r="B49" s="436" t="s">
        <v>23</v>
      </c>
      <c r="C49" s="436"/>
      <c r="D49" s="436"/>
      <c r="E49" s="436"/>
      <c r="F49" s="436"/>
      <c r="G49" s="436"/>
    </row>
    <row r="50" spans="1:2" ht="15.75">
      <c r="A50" s="435"/>
      <c r="B50" s="1" t="s">
        <v>17</v>
      </c>
    </row>
    <row r="51" ht="15.75">
      <c r="A51" s="3"/>
    </row>
    <row r="52" spans="2:5" ht="31.5">
      <c r="B52" s="6" t="s">
        <v>193</v>
      </c>
      <c r="C52" s="6" t="s">
        <v>19</v>
      </c>
      <c r="D52" s="6" t="s">
        <v>20</v>
      </c>
      <c r="E52" s="6" t="s">
        <v>21</v>
      </c>
    </row>
    <row r="53" spans="2:5" ht="15.75">
      <c r="B53" s="6">
        <v>1</v>
      </c>
      <c r="C53" s="6">
        <v>2</v>
      </c>
      <c r="D53" s="6">
        <v>3</v>
      </c>
      <c r="E53" s="6">
        <v>4</v>
      </c>
    </row>
    <row r="54" spans="2:5" ht="114.75">
      <c r="B54" s="160" t="s">
        <v>495</v>
      </c>
      <c r="C54" s="159">
        <f>E19</f>
        <v>2014877.5499999998</v>
      </c>
      <c r="D54" s="159">
        <v>0</v>
      </c>
      <c r="E54" s="159">
        <f>C54</f>
        <v>2014877.5499999998</v>
      </c>
    </row>
    <row r="55" spans="2:5" ht="15.75">
      <c r="B55" s="17" t="s">
        <v>21</v>
      </c>
      <c r="C55" s="25">
        <f>C54</f>
        <v>2014877.5499999998</v>
      </c>
      <c r="D55" s="25">
        <v>0</v>
      </c>
      <c r="E55" s="25">
        <f>E54</f>
        <v>2014877.5499999998</v>
      </c>
    </row>
    <row r="56" ht="15.75">
      <c r="A56" s="3"/>
    </row>
    <row r="57" ht="15.75">
      <c r="A57" s="3"/>
    </row>
    <row r="58" spans="1:7" ht="15.75">
      <c r="A58" s="2" t="s">
        <v>47</v>
      </c>
      <c r="B58" s="436" t="s">
        <v>195</v>
      </c>
      <c r="C58" s="436"/>
      <c r="D58" s="436"/>
      <c r="E58" s="436"/>
      <c r="F58" s="436"/>
      <c r="G58" s="436"/>
    </row>
    <row r="59" ht="15.75">
      <c r="A59" s="3"/>
    </row>
    <row r="60" spans="1:7" ht="46.5" customHeight="1">
      <c r="A60" s="6" t="s">
        <v>13</v>
      </c>
      <c r="B60" s="6" t="s">
        <v>196</v>
      </c>
      <c r="C60" s="6" t="s">
        <v>197</v>
      </c>
      <c r="D60" s="6" t="s">
        <v>198</v>
      </c>
      <c r="E60" s="6" t="s">
        <v>19</v>
      </c>
      <c r="F60" s="6" t="s">
        <v>20</v>
      </c>
      <c r="G60" s="6" t="s">
        <v>21</v>
      </c>
    </row>
    <row r="61" spans="1:7" ht="15.75">
      <c r="A61" s="6">
        <v>1</v>
      </c>
      <c r="B61" s="6">
        <v>2</v>
      </c>
      <c r="C61" s="6">
        <v>3</v>
      </c>
      <c r="D61" s="6">
        <v>4</v>
      </c>
      <c r="E61" s="6">
        <v>5</v>
      </c>
      <c r="F61" s="6">
        <v>6</v>
      </c>
      <c r="G61" s="6">
        <v>7</v>
      </c>
    </row>
    <row r="62" spans="1:7" ht="15.75">
      <c r="A62" s="6"/>
      <c r="B62" s="437" t="s">
        <v>229</v>
      </c>
      <c r="C62" s="438"/>
      <c r="D62" s="438"/>
      <c r="E62" s="438"/>
      <c r="F62" s="438"/>
      <c r="G62" s="439"/>
    </row>
    <row r="63" spans="1:7" ht="15.75" customHeight="1">
      <c r="A63" s="6">
        <v>1</v>
      </c>
      <c r="B63" s="17" t="s">
        <v>199</v>
      </c>
      <c r="C63" s="6"/>
      <c r="D63" s="6"/>
      <c r="E63" s="6"/>
      <c r="F63" s="6"/>
      <c r="G63" s="6"/>
    </row>
    <row r="64" spans="1:8" ht="51" customHeight="1">
      <c r="A64" s="6"/>
      <c r="B64" s="7" t="s">
        <v>225</v>
      </c>
      <c r="C64" s="6" t="s">
        <v>79</v>
      </c>
      <c r="D64" s="108" t="s">
        <v>61</v>
      </c>
      <c r="E64" s="84">
        <f>E44</f>
        <v>2003477.5499999998</v>
      </c>
      <c r="F64" s="6" t="s">
        <v>109</v>
      </c>
      <c r="G64" s="22">
        <f>E64</f>
        <v>2003477.5499999998</v>
      </c>
      <c r="H64" s="89"/>
    </row>
    <row r="65" spans="1:7" ht="15.75">
      <c r="A65" s="6">
        <v>2</v>
      </c>
      <c r="B65" s="17" t="s">
        <v>200</v>
      </c>
      <c r="C65" s="6"/>
      <c r="D65" s="22"/>
      <c r="E65" s="84"/>
      <c r="F65" s="6"/>
      <c r="G65" s="22"/>
    </row>
    <row r="66" spans="1:7" ht="48" customHeight="1">
      <c r="A66" s="6"/>
      <c r="B66" s="7" t="s">
        <v>327</v>
      </c>
      <c r="C66" s="6" t="s">
        <v>228</v>
      </c>
      <c r="D66" s="27" t="s">
        <v>81</v>
      </c>
      <c r="E66" s="163">
        <f>E67+E68+E69</f>
        <v>298</v>
      </c>
      <c r="F66" s="78" t="s">
        <v>109</v>
      </c>
      <c r="G66" s="43">
        <f aca="true" t="shared" si="0" ref="G66:G71">E66</f>
        <v>298</v>
      </c>
    </row>
    <row r="67" spans="1:7" ht="13.5" customHeight="1">
      <c r="A67" s="6"/>
      <c r="B67" s="161" t="s">
        <v>322</v>
      </c>
      <c r="C67" s="158" t="s">
        <v>228</v>
      </c>
      <c r="D67" s="162" t="s">
        <v>81</v>
      </c>
      <c r="E67" s="84">
        <v>137</v>
      </c>
      <c r="F67" s="78" t="s">
        <v>109</v>
      </c>
      <c r="G67" s="22">
        <f t="shared" si="0"/>
        <v>137</v>
      </c>
    </row>
    <row r="68" spans="1:7" ht="13.5" customHeight="1">
      <c r="A68" s="6"/>
      <c r="B68" s="161" t="s">
        <v>323</v>
      </c>
      <c r="C68" s="158" t="s">
        <v>228</v>
      </c>
      <c r="D68" s="162" t="s">
        <v>81</v>
      </c>
      <c r="E68" s="84">
        <v>148</v>
      </c>
      <c r="F68" s="78" t="s">
        <v>109</v>
      </c>
      <c r="G68" s="22">
        <f t="shared" si="0"/>
        <v>148</v>
      </c>
    </row>
    <row r="69" spans="1:7" ht="13.5" customHeight="1">
      <c r="A69" s="6"/>
      <c r="B69" s="161" t="s">
        <v>324</v>
      </c>
      <c r="C69" s="158" t="s">
        <v>228</v>
      </c>
      <c r="D69" s="162" t="s">
        <v>81</v>
      </c>
      <c r="E69" s="84">
        <f>E70+E71</f>
        <v>13</v>
      </c>
      <c r="F69" s="78" t="s">
        <v>109</v>
      </c>
      <c r="G69" s="22">
        <f t="shared" si="0"/>
        <v>13</v>
      </c>
    </row>
    <row r="70" spans="1:7" ht="15.75" customHeight="1">
      <c r="A70" s="6"/>
      <c r="B70" s="161" t="s">
        <v>325</v>
      </c>
      <c r="C70" s="158" t="s">
        <v>228</v>
      </c>
      <c r="D70" s="162" t="s">
        <v>81</v>
      </c>
      <c r="E70" s="84">
        <v>7</v>
      </c>
      <c r="F70" s="78" t="s">
        <v>109</v>
      </c>
      <c r="G70" s="22">
        <f t="shared" si="0"/>
        <v>7</v>
      </c>
    </row>
    <row r="71" spans="1:7" ht="15.75" customHeight="1">
      <c r="A71" s="6"/>
      <c r="B71" s="161" t="s">
        <v>326</v>
      </c>
      <c r="C71" s="158" t="s">
        <v>228</v>
      </c>
      <c r="D71" s="162" t="s">
        <v>81</v>
      </c>
      <c r="E71" s="84">
        <v>6</v>
      </c>
      <c r="F71" s="78" t="s">
        <v>109</v>
      </c>
      <c r="G71" s="22">
        <f t="shared" si="0"/>
        <v>6</v>
      </c>
    </row>
    <row r="72" spans="1:7" ht="17.25" customHeight="1">
      <c r="A72" s="6">
        <v>3</v>
      </c>
      <c r="B72" s="17" t="s">
        <v>201</v>
      </c>
      <c r="C72" s="6"/>
      <c r="D72" s="27"/>
      <c r="E72" s="22"/>
      <c r="F72" s="6"/>
      <c r="G72" s="22"/>
    </row>
    <row r="73" spans="1:7" ht="45.75" customHeight="1">
      <c r="A73" s="6"/>
      <c r="B73" s="7" t="s">
        <v>226</v>
      </c>
      <c r="C73" s="6" t="s">
        <v>71</v>
      </c>
      <c r="D73" s="27" t="s">
        <v>70</v>
      </c>
      <c r="E73" s="396">
        <f>E64/2400000*100%</f>
        <v>0.8347823124999999</v>
      </c>
      <c r="F73" s="397" t="s">
        <v>109</v>
      </c>
      <c r="G73" s="396">
        <f>E73</f>
        <v>0.8347823124999999</v>
      </c>
    </row>
    <row r="74" spans="1:7" ht="18.75" customHeight="1">
      <c r="A74" s="6">
        <v>4</v>
      </c>
      <c r="B74" s="17" t="s">
        <v>202</v>
      </c>
      <c r="C74" s="6"/>
      <c r="D74" s="22"/>
      <c r="E74" s="22"/>
      <c r="F74" s="6"/>
      <c r="G74" s="22"/>
    </row>
    <row r="75" spans="1:7" ht="54.75" customHeight="1">
      <c r="A75" s="6"/>
      <c r="B75" s="7" t="s">
        <v>227</v>
      </c>
      <c r="C75" s="6" t="s">
        <v>71</v>
      </c>
      <c r="D75" s="22" t="s">
        <v>70</v>
      </c>
      <c r="E75" s="22">
        <f>(E66/271)*100</f>
        <v>109.96309963099631</v>
      </c>
      <c r="F75" s="6" t="s">
        <v>109</v>
      </c>
      <c r="G75" s="22">
        <f>E75</f>
        <v>109.96309963099631</v>
      </c>
    </row>
    <row r="76" spans="1:7" ht="18.75" customHeight="1">
      <c r="A76" s="6"/>
      <c r="B76" s="437" t="s">
        <v>230</v>
      </c>
      <c r="C76" s="438"/>
      <c r="D76" s="438"/>
      <c r="E76" s="438"/>
      <c r="F76" s="438"/>
      <c r="G76" s="439"/>
    </row>
    <row r="77" spans="1:7" ht="16.5" customHeight="1">
      <c r="A77" s="6">
        <v>1</v>
      </c>
      <c r="B77" s="17" t="s">
        <v>199</v>
      </c>
      <c r="C77" s="6"/>
      <c r="D77" s="6"/>
      <c r="E77" s="29"/>
      <c r="F77" s="6"/>
      <c r="G77" s="29"/>
    </row>
    <row r="78" spans="1:8" ht="46.5" customHeight="1">
      <c r="A78" s="6"/>
      <c r="B78" s="7" t="s">
        <v>231</v>
      </c>
      <c r="C78" s="6" t="s">
        <v>237</v>
      </c>
      <c r="D78" s="30" t="s">
        <v>61</v>
      </c>
      <c r="E78" s="22">
        <f>E45</f>
        <v>11400</v>
      </c>
      <c r="F78" s="6"/>
      <c r="G78" s="29">
        <f>E78</f>
        <v>11400</v>
      </c>
      <c r="H78" s="89"/>
    </row>
    <row r="79" spans="1:7" ht="15" customHeight="1">
      <c r="A79" s="6">
        <v>2</v>
      </c>
      <c r="B79" s="17" t="s">
        <v>200</v>
      </c>
      <c r="C79" s="6"/>
      <c r="D79" s="29"/>
      <c r="E79" s="29"/>
      <c r="F79" s="6"/>
      <c r="G79" s="29"/>
    </row>
    <row r="80" spans="1:7" ht="61.5" customHeight="1">
      <c r="A80" s="6"/>
      <c r="B80" s="7" t="s">
        <v>328</v>
      </c>
      <c r="C80" s="6" t="s">
        <v>64</v>
      </c>
      <c r="D80" s="29" t="s">
        <v>81</v>
      </c>
      <c r="E80" s="29">
        <v>1</v>
      </c>
      <c r="F80" s="6"/>
      <c r="G80" s="29">
        <f>E80</f>
        <v>1</v>
      </c>
    </row>
    <row r="81" spans="1:7" ht="18" customHeight="1">
      <c r="A81" s="6"/>
      <c r="B81" s="403" t="s">
        <v>322</v>
      </c>
      <c r="C81" s="133" t="s">
        <v>228</v>
      </c>
      <c r="D81" s="133" t="s">
        <v>81</v>
      </c>
      <c r="E81" s="29">
        <v>1</v>
      </c>
      <c r="F81" s="6"/>
      <c r="G81" s="29">
        <f>E81</f>
        <v>1</v>
      </c>
    </row>
    <row r="82" spans="1:7" ht="15.75" customHeight="1">
      <c r="A82" s="6"/>
      <c r="B82" s="403" t="s">
        <v>323</v>
      </c>
      <c r="C82" s="133" t="s">
        <v>228</v>
      </c>
      <c r="D82" s="133" t="s">
        <v>81</v>
      </c>
      <c r="E82" s="164" t="s">
        <v>109</v>
      </c>
      <c r="F82" s="6"/>
      <c r="G82" s="164" t="str">
        <f>E82</f>
        <v>-</v>
      </c>
    </row>
    <row r="83" spans="1:7" ht="15.75" customHeight="1">
      <c r="A83" s="6">
        <v>3</v>
      </c>
      <c r="B83" s="17" t="s">
        <v>201</v>
      </c>
      <c r="C83" s="6"/>
      <c r="D83" s="29"/>
      <c r="E83" s="29"/>
      <c r="F83" s="6"/>
      <c r="G83" s="29"/>
    </row>
    <row r="84" spans="1:7" ht="30" customHeight="1">
      <c r="A84" s="6"/>
      <c r="B84" s="7" t="s">
        <v>235</v>
      </c>
      <c r="C84" s="6" t="s">
        <v>71</v>
      </c>
      <c r="D84" s="29" t="s">
        <v>70</v>
      </c>
      <c r="E84" s="29">
        <v>100</v>
      </c>
      <c r="F84" s="6"/>
      <c r="G84" s="29">
        <v>100</v>
      </c>
    </row>
    <row r="85" spans="1:7" ht="18" customHeight="1">
      <c r="A85" s="6">
        <v>4</v>
      </c>
      <c r="B85" s="17" t="s">
        <v>202</v>
      </c>
      <c r="C85" s="6"/>
      <c r="D85" s="29"/>
      <c r="E85" s="29"/>
      <c r="F85" s="6"/>
      <c r="G85" s="29"/>
    </row>
    <row r="86" spans="1:7" ht="65.25" customHeight="1">
      <c r="A86" s="6"/>
      <c r="B86" s="7" t="s">
        <v>236</v>
      </c>
      <c r="C86" s="6" t="s">
        <v>71</v>
      </c>
      <c r="D86" s="29" t="s">
        <v>70</v>
      </c>
      <c r="E86" s="29">
        <v>100</v>
      </c>
      <c r="F86" s="6"/>
      <c r="G86" s="29">
        <f>E86</f>
        <v>100</v>
      </c>
    </row>
    <row r="87" spans="1:7" ht="14.25" customHeight="1">
      <c r="A87" s="16"/>
      <c r="B87" s="15"/>
      <c r="C87" s="16"/>
      <c r="D87" s="16"/>
      <c r="E87" s="26"/>
      <c r="F87" s="16"/>
      <c r="G87" s="26"/>
    </row>
    <row r="88" ht="15.75">
      <c r="A88" s="3"/>
    </row>
    <row r="89" spans="1:7" ht="15.75">
      <c r="A89" s="3" t="s">
        <v>73</v>
      </c>
      <c r="B89" s="3"/>
      <c r="C89" s="3"/>
      <c r="D89" s="8"/>
      <c r="E89" s="75"/>
      <c r="F89" s="430" t="s">
        <v>74</v>
      </c>
      <c r="G89" s="430"/>
    </row>
    <row r="90" spans="1:7" ht="15">
      <c r="A90" s="85"/>
      <c r="B90" s="85"/>
      <c r="C90" s="85"/>
      <c r="D90" s="5" t="s">
        <v>203</v>
      </c>
      <c r="E90" s="86"/>
      <c r="F90" s="472" t="s">
        <v>75</v>
      </c>
      <c r="G90" s="473"/>
    </row>
    <row r="91" spans="1:7" ht="15.75">
      <c r="A91" s="474"/>
      <c r="B91" s="474"/>
      <c r="C91" s="85"/>
      <c r="D91" s="2"/>
      <c r="E91" s="85"/>
      <c r="F91" s="85"/>
      <c r="G91" s="85"/>
    </row>
    <row r="92" spans="1:7" ht="15.75">
      <c r="A92" s="433" t="s">
        <v>204</v>
      </c>
      <c r="B92" s="433"/>
      <c r="C92" s="85"/>
      <c r="E92" s="85"/>
      <c r="F92" s="85"/>
      <c r="G92" s="85"/>
    </row>
    <row r="93" spans="1:7" ht="15.75" customHeight="1">
      <c r="A93" s="3" t="s">
        <v>281</v>
      </c>
      <c r="B93" s="3"/>
      <c r="C93" s="3"/>
      <c r="D93" s="8"/>
      <c r="E93" s="75"/>
      <c r="F93" s="430" t="s">
        <v>76</v>
      </c>
      <c r="G93" s="430"/>
    </row>
    <row r="94" spans="1:7" ht="15.75">
      <c r="A94" s="3" t="s">
        <v>286</v>
      </c>
      <c r="B94" s="3"/>
      <c r="C94" s="85"/>
      <c r="D94" s="5" t="s">
        <v>203</v>
      </c>
      <c r="E94" s="5"/>
      <c r="F94" s="431" t="s">
        <v>75</v>
      </c>
      <c r="G94" s="432"/>
    </row>
    <row r="95" spans="1:7" ht="15.75">
      <c r="A95" s="3"/>
      <c r="B95" s="3"/>
      <c r="C95" s="85"/>
      <c r="D95" s="5"/>
      <c r="E95" s="5"/>
      <c r="F95" s="97"/>
      <c r="G95" s="400"/>
    </row>
    <row r="96" spans="1:7" ht="15.75">
      <c r="A96" s="1"/>
      <c r="B96" s="91" t="s">
        <v>161</v>
      </c>
      <c r="C96" s="2"/>
      <c r="F96" s="475"/>
      <c r="G96" s="475"/>
    </row>
    <row r="97" ht="15">
      <c r="B97" s="92" t="s">
        <v>162</v>
      </c>
    </row>
    <row r="98" ht="15">
      <c r="B98" s="23" t="s">
        <v>163</v>
      </c>
    </row>
  </sheetData>
  <sheetProtection/>
  <mergeCells count="43">
    <mergeCell ref="E1:G1"/>
    <mergeCell ref="E4:G4"/>
    <mergeCell ref="E5:G5"/>
    <mergeCell ref="E6:G6"/>
    <mergeCell ref="E7:G7"/>
    <mergeCell ref="A9:G9"/>
    <mergeCell ref="A10:G10"/>
    <mergeCell ref="D12:F12"/>
    <mergeCell ref="D13:E13"/>
    <mergeCell ref="D14:F14"/>
    <mergeCell ref="D15:E15"/>
    <mergeCell ref="E16:F16"/>
    <mergeCell ref="E17:F17"/>
    <mergeCell ref="B20:G20"/>
    <mergeCell ref="B21:G21"/>
    <mergeCell ref="B22:G22"/>
    <mergeCell ref="B23:G23"/>
    <mergeCell ref="B24:G24"/>
    <mergeCell ref="B25:G25"/>
    <mergeCell ref="B26:G26"/>
    <mergeCell ref="B28:G28"/>
    <mergeCell ref="B29:G29"/>
    <mergeCell ref="B30:G30"/>
    <mergeCell ref="B32:G32"/>
    <mergeCell ref="B33:D33"/>
    <mergeCell ref="B35:G35"/>
    <mergeCell ref="B36:G36"/>
    <mergeCell ref="B37:G37"/>
    <mergeCell ref="A39:A40"/>
    <mergeCell ref="B39:G39"/>
    <mergeCell ref="A46:B46"/>
    <mergeCell ref="A49:A50"/>
    <mergeCell ref="B49:G49"/>
    <mergeCell ref="B58:G58"/>
    <mergeCell ref="B62:G62"/>
    <mergeCell ref="B76:G76"/>
    <mergeCell ref="F96:G96"/>
    <mergeCell ref="F89:G89"/>
    <mergeCell ref="F90:G90"/>
    <mergeCell ref="A91:B91"/>
    <mergeCell ref="A92:B92"/>
    <mergeCell ref="F93:G93"/>
    <mergeCell ref="F94:G94"/>
  </mergeCells>
  <printOptions/>
  <pageMargins left="0.1968503937007874" right="0.15748031496062992" top="1.1811023622047245" bottom="0.2755905511811024" header="0.31496062992125984" footer="0.31496062992125984"/>
  <pageSetup fitToHeight="4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85"/>
  <sheetViews>
    <sheetView zoomScalePageLayoutView="0" workbookViewId="0" topLeftCell="A57">
      <selection activeCell="B69" sqref="B69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16384" width="21.57421875" style="4" customWidth="1"/>
  </cols>
  <sheetData>
    <row r="1" spans="5:7" ht="77.25" customHeight="1">
      <c r="E1" s="484" t="s">
        <v>469</v>
      </c>
      <c r="F1" s="471"/>
      <c r="G1" s="471"/>
    </row>
    <row r="2" spans="1:5" ht="15.75">
      <c r="A2" s="1"/>
      <c r="E2" s="1"/>
    </row>
    <row r="3" spans="1:5" ht="15.75">
      <c r="A3" s="1"/>
      <c r="E3" s="1" t="s">
        <v>166</v>
      </c>
    </row>
    <row r="4" spans="1:7" ht="15.75" customHeight="1">
      <c r="A4" s="1"/>
      <c r="E4" s="468" t="s">
        <v>95</v>
      </c>
      <c r="F4" s="468"/>
      <c r="G4" s="468"/>
    </row>
    <row r="5" spans="1:7" ht="15.75">
      <c r="A5" s="1"/>
      <c r="B5" s="1"/>
      <c r="E5" s="469" t="s">
        <v>207</v>
      </c>
      <c r="F5" s="469"/>
      <c r="G5" s="469"/>
    </row>
    <row r="6" spans="1:7" ht="15" customHeight="1">
      <c r="A6" s="1"/>
      <c r="E6" s="470" t="s">
        <v>167</v>
      </c>
      <c r="F6" s="470"/>
      <c r="G6" s="470"/>
    </row>
    <row r="7" spans="5:7" ht="15">
      <c r="E7" s="443" t="s">
        <v>94</v>
      </c>
      <c r="F7" s="471"/>
      <c r="G7" s="471"/>
    </row>
    <row r="9" spans="1:7" ht="15.75">
      <c r="A9" s="455" t="s">
        <v>168</v>
      </c>
      <c r="B9" s="455"/>
      <c r="C9" s="455"/>
      <c r="D9" s="455"/>
      <c r="E9" s="455"/>
      <c r="F9" s="455"/>
      <c r="G9" s="455"/>
    </row>
    <row r="10" spans="1:7" ht="15.75">
      <c r="A10" s="455" t="s">
        <v>315</v>
      </c>
      <c r="B10" s="455"/>
      <c r="C10" s="455"/>
      <c r="D10" s="455"/>
      <c r="E10" s="455"/>
      <c r="F10" s="455"/>
      <c r="G10" s="455"/>
    </row>
    <row r="11" spans="1:7" ht="15.75">
      <c r="A11" s="156"/>
      <c r="B11" s="156"/>
      <c r="C11" s="156"/>
      <c r="D11" s="156"/>
      <c r="E11" s="156"/>
      <c r="F11" s="156"/>
      <c r="G11" s="156"/>
    </row>
    <row r="12" spans="1:7" ht="15" customHeight="1">
      <c r="A12" s="214" t="s">
        <v>304</v>
      </c>
      <c r="B12" s="405" t="s">
        <v>478</v>
      </c>
      <c r="C12" s="210"/>
      <c r="D12" s="456" t="s">
        <v>207</v>
      </c>
      <c r="E12" s="457"/>
      <c r="F12" s="458"/>
      <c r="G12" s="190">
        <v>38068238</v>
      </c>
    </row>
    <row r="13" spans="2:7" ht="31.5" customHeight="1">
      <c r="B13" s="407" t="s">
        <v>308</v>
      </c>
      <c r="C13" s="196"/>
      <c r="D13" s="459" t="s">
        <v>167</v>
      </c>
      <c r="E13" s="459"/>
      <c r="F13" s="212"/>
      <c r="G13" s="192" t="s">
        <v>305</v>
      </c>
    </row>
    <row r="14" spans="1:7" ht="16.5" customHeight="1">
      <c r="A14" s="213" t="s">
        <v>306</v>
      </c>
      <c r="B14" s="405" t="s">
        <v>479</v>
      </c>
      <c r="C14" s="211"/>
      <c r="D14" s="460" t="s">
        <v>207</v>
      </c>
      <c r="E14" s="461"/>
      <c r="F14" s="462"/>
      <c r="G14" s="193">
        <v>38068238</v>
      </c>
    </row>
    <row r="15" spans="1:7" ht="45" customHeight="1">
      <c r="A15" s="213"/>
      <c r="B15" s="407" t="s">
        <v>308</v>
      </c>
      <c r="C15" s="196"/>
      <c r="D15" s="463" t="s">
        <v>205</v>
      </c>
      <c r="E15" s="463"/>
      <c r="F15" s="212"/>
      <c r="G15" s="192" t="s">
        <v>305</v>
      </c>
    </row>
    <row r="16" spans="1:7" ht="36.75" customHeight="1">
      <c r="A16" s="194" t="s">
        <v>307</v>
      </c>
      <c r="B16" s="405" t="s">
        <v>329</v>
      </c>
      <c r="C16" s="405" t="s">
        <v>330</v>
      </c>
      <c r="D16" s="405" t="s">
        <v>239</v>
      </c>
      <c r="E16" s="464" t="s">
        <v>331</v>
      </c>
      <c r="F16" s="465"/>
      <c r="G16" s="405" t="s">
        <v>477</v>
      </c>
    </row>
    <row r="17" spans="1:7" ht="45" customHeight="1">
      <c r="A17" s="195"/>
      <c r="B17" s="196" t="s">
        <v>308</v>
      </c>
      <c r="C17" s="407" t="s">
        <v>309</v>
      </c>
      <c r="D17" s="191" t="s">
        <v>310</v>
      </c>
      <c r="E17" s="454" t="s">
        <v>311</v>
      </c>
      <c r="F17" s="454"/>
      <c r="G17" s="407" t="s">
        <v>312</v>
      </c>
    </row>
    <row r="19" spans="1:7" ht="51" customHeight="1">
      <c r="A19" s="2" t="s">
        <v>172</v>
      </c>
      <c r="B19" s="9" t="s">
        <v>210</v>
      </c>
      <c r="C19" s="10">
        <f>E19+G19</f>
        <v>359358</v>
      </c>
      <c r="D19" s="9" t="s">
        <v>43</v>
      </c>
      <c r="E19" s="10">
        <f>658358-150000-100000-49000</f>
        <v>359358</v>
      </c>
      <c r="F19" s="9" t="s">
        <v>44</v>
      </c>
      <c r="G19" s="10">
        <v>0</v>
      </c>
    </row>
    <row r="20" spans="1:7" ht="15.75">
      <c r="A20" s="2" t="s">
        <v>9</v>
      </c>
      <c r="B20" s="436" t="s">
        <v>209</v>
      </c>
      <c r="C20" s="436"/>
      <c r="D20" s="436"/>
      <c r="E20" s="436"/>
      <c r="F20" s="436"/>
      <c r="G20" s="436"/>
    </row>
    <row r="21" spans="1:7" ht="21" customHeight="1">
      <c r="A21" s="2"/>
      <c r="B21" s="436" t="s">
        <v>211</v>
      </c>
      <c r="C21" s="436"/>
      <c r="D21" s="436"/>
      <c r="E21" s="436"/>
      <c r="F21" s="436"/>
      <c r="G21" s="436"/>
    </row>
    <row r="22" spans="1:7" ht="20.25" customHeight="1">
      <c r="A22" s="2"/>
      <c r="B22" s="436" t="s">
        <v>215</v>
      </c>
      <c r="C22" s="436"/>
      <c r="D22" s="436"/>
      <c r="E22" s="436"/>
      <c r="F22" s="436"/>
      <c r="G22" s="436"/>
    </row>
    <row r="23" spans="1:7" ht="19.5" customHeight="1">
      <c r="A23" s="2"/>
      <c r="B23" s="436" t="s">
        <v>579</v>
      </c>
      <c r="C23" s="436"/>
      <c r="D23" s="436"/>
      <c r="E23" s="436"/>
      <c r="F23" s="436"/>
      <c r="G23" s="436"/>
    </row>
    <row r="24" spans="1:7" ht="30" customHeight="1">
      <c r="A24" s="2"/>
      <c r="B24" s="436" t="s">
        <v>144</v>
      </c>
      <c r="C24" s="436"/>
      <c r="D24" s="436"/>
      <c r="E24" s="436"/>
      <c r="F24" s="436"/>
      <c r="G24" s="436"/>
    </row>
    <row r="25" spans="1:7" ht="20.25" customHeight="1">
      <c r="A25" s="2"/>
      <c r="B25" s="450" t="s">
        <v>481</v>
      </c>
      <c r="C25" s="450"/>
      <c r="D25" s="450"/>
      <c r="E25" s="450"/>
      <c r="F25" s="450"/>
      <c r="G25" s="450"/>
    </row>
    <row r="26" spans="1:7" ht="32.25" customHeight="1">
      <c r="A26" s="2"/>
      <c r="B26" s="450" t="s">
        <v>646</v>
      </c>
      <c r="C26" s="450"/>
      <c r="D26" s="450"/>
      <c r="E26" s="450"/>
      <c r="F26" s="450"/>
      <c r="G26" s="450"/>
    </row>
    <row r="27" spans="1:7" ht="26.25" customHeight="1">
      <c r="A27" s="2" t="s">
        <v>10</v>
      </c>
      <c r="B27" s="436" t="s">
        <v>41</v>
      </c>
      <c r="C27" s="436"/>
      <c r="D27" s="436"/>
      <c r="E27" s="436"/>
      <c r="F27" s="436"/>
      <c r="G27" s="436"/>
    </row>
    <row r="28" spans="1:7" ht="27" customHeight="1">
      <c r="A28" s="6"/>
      <c r="B28" s="451" t="s">
        <v>234</v>
      </c>
      <c r="C28" s="452"/>
      <c r="D28" s="452"/>
      <c r="E28" s="452"/>
      <c r="F28" s="452"/>
      <c r="G28" s="453"/>
    </row>
    <row r="29" spans="1:7" ht="38.25" customHeight="1">
      <c r="A29" s="6" t="s">
        <v>169</v>
      </c>
      <c r="B29" s="445" t="s">
        <v>333</v>
      </c>
      <c r="C29" s="446"/>
      <c r="D29" s="446"/>
      <c r="E29" s="446"/>
      <c r="F29" s="446"/>
      <c r="G29" s="447"/>
    </row>
    <row r="30" spans="1:7" ht="44.25" customHeight="1">
      <c r="A30" s="2" t="s">
        <v>11</v>
      </c>
      <c r="B30" s="436" t="s">
        <v>240</v>
      </c>
      <c r="C30" s="436"/>
      <c r="D30" s="436"/>
      <c r="E30" s="436"/>
      <c r="F30" s="436"/>
      <c r="G30" s="436"/>
    </row>
    <row r="31" spans="1:4" ht="31.5" customHeight="1">
      <c r="A31" s="2" t="s">
        <v>15</v>
      </c>
      <c r="B31" s="443" t="s">
        <v>12</v>
      </c>
      <c r="C31" s="443"/>
      <c r="D31" s="443"/>
    </row>
    <row r="32" ht="15.75">
      <c r="A32" s="3"/>
    </row>
    <row r="33" spans="1:7" ht="15.75">
      <c r="A33" s="6" t="s">
        <v>13</v>
      </c>
      <c r="B33" s="444" t="s">
        <v>14</v>
      </c>
      <c r="C33" s="444"/>
      <c r="D33" s="444"/>
      <c r="E33" s="444"/>
      <c r="F33" s="444"/>
      <c r="G33" s="444"/>
    </row>
    <row r="34" spans="1:7" ht="15.75">
      <c r="A34" s="6" t="s">
        <v>169</v>
      </c>
      <c r="B34" s="445" t="s">
        <v>241</v>
      </c>
      <c r="C34" s="446"/>
      <c r="D34" s="446"/>
      <c r="E34" s="446"/>
      <c r="F34" s="446"/>
      <c r="G34" s="447"/>
    </row>
    <row r="35" ht="15.75">
      <c r="A35" s="3"/>
    </row>
    <row r="36" spans="1:7" ht="15.75">
      <c r="A36" s="435" t="s">
        <v>22</v>
      </c>
      <c r="B36" s="436" t="s">
        <v>16</v>
      </c>
      <c r="C36" s="436"/>
      <c r="D36" s="436"/>
      <c r="E36" s="436"/>
      <c r="F36" s="436"/>
      <c r="G36" s="436"/>
    </row>
    <row r="37" spans="1:2" ht="15.75">
      <c r="A37" s="435"/>
      <c r="B37" s="1" t="s">
        <v>17</v>
      </c>
    </row>
    <row r="38" ht="15.75">
      <c r="A38" s="3"/>
    </row>
    <row r="39" spans="1:5" ht="31.5">
      <c r="A39" s="6" t="s">
        <v>13</v>
      </c>
      <c r="B39" s="6" t="s">
        <v>18</v>
      </c>
      <c r="C39" s="6" t="s">
        <v>19</v>
      </c>
      <c r="D39" s="6" t="s">
        <v>20</v>
      </c>
      <c r="E39" s="6" t="s">
        <v>21</v>
      </c>
    </row>
    <row r="40" spans="1:5" ht="15.75">
      <c r="A40" s="6">
        <v>1</v>
      </c>
      <c r="B40" s="6">
        <v>2</v>
      </c>
      <c r="C40" s="6">
        <v>3</v>
      </c>
      <c r="D40" s="6">
        <v>4</v>
      </c>
      <c r="E40" s="6">
        <v>6</v>
      </c>
    </row>
    <row r="41" spans="1:5" ht="90">
      <c r="A41" s="6" t="s">
        <v>169</v>
      </c>
      <c r="B41" s="12" t="s">
        <v>241</v>
      </c>
      <c r="C41" s="13">
        <f>E19</f>
        <v>359358</v>
      </c>
      <c r="D41" s="6" t="s">
        <v>109</v>
      </c>
      <c r="E41" s="13">
        <f>C41</f>
        <v>359358</v>
      </c>
    </row>
    <row r="42" spans="1:5" ht="15.75">
      <c r="A42" s="434" t="s">
        <v>21</v>
      </c>
      <c r="B42" s="434"/>
      <c r="C42" s="14">
        <f>SUM(C41:C41)</f>
        <v>359358</v>
      </c>
      <c r="D42" s="14" t="s">
        <v>109</v>
      </c>
      <c r="E42" s="14">
        <f>E41</f>
        <v>359358</v>
      </c>
    </row>
    <row r="43" ht="15.75">
      <c r="A43" s="3"/>
    </row>
    <row r="44" ht="15.75">
      <c r="A44" s="3"/>
    </row>
    <row r="45" spans="1:7" ht="15.75">
      <c r="A45" s="435" t="s">
        <v>194</v>
      </c>
      <c r="B45" s="436" t="s">
        <v>23</v>
      </c>
      <c r="C45" s="436"/>
      <c r="D45" s="436"/>
      <c r="E45" s="436"/>
      <c r="F45" s="436"/>
      <c r="G45" s="436"/>
    </row>
    <row r="46" spans="1:2" ht="15.75">
      <c r="A46" s="435"/>
      <c r="B46" s="1" t="s">
        <v>17</v>
      </c>
    </row>
    <row r="47" ht="15.75">
      <c r="A47" s="3"/>
    </row>
    <row r="48" ht="15.75">
      <c r="A48" s="3"/>
    </row>
    <row r="49" spans="2:5" ht="31.5">
      <c r="B49" s="6" t="s">
        <v>193</v>
      </c>
      <c r="C49" s="6" t="s">
        <v>19</v>
      </c>
      <c r="D49" s="6" t="s">
        <v>20</v>
      </c>
      <c r="E49" s="6" t="s">
        <v>21</v>
      </c>
    </row>
    <row r="50" spans="2:5" ht="15.75">
      <c r="B50" s="6">
        <v>1</v>
      </c>
      <c r="C50" s="6">
        <v>2</v>
      </c>
      <c r="D50" s="6">
        <v>3</v>
      </c>
      <c r="E50" s="6">
        <v>4</v>
      </c>
    </row>
    <row r="51" spans="2:5" ht="60">
      <c r="B51" s="146" t="s">
        <v>238</v>
      </c>
      <c r="C51" s="24">
        <f>E19</f>
        <v>359358</v>
      </c>
      <c r="D51" s="24">
        <v>0</v>
      </c>
      <c r="E51" s="24">
        <f>C51</f>
        <v>359358</v>
      </c>
    </row>
    <row r="52" spans="2:5" ht="15.75">
      <c r="B52" s="17" t="s">
        <v>21</v>
      </c>
      <c r="C52" s="25">
        <f>C51</f>
        <v>359358</v>
      </c>
      <c r="D52" s="25">
        <f>D51</f>
        <v>0</v>
      </c>
      <c r="E52" s="25">
        <f>E51</f>
        <v>359358</v>
      </c>
    </row>
    <row r="53" ht="15.75">
      <c r="A53" s="3"/>
    </row>
    <row r="54" ht="15.75">
      <c r="A54" s="3"/>
    </row>
    <row r="55" spans="1:7" ht="15.75">
      <c r="A55" s="2" t="s">
        <v>47</v>
      </c>
      <c r="B55" s="436" t="s">
        <v>195</v>
      </c>
      <c r="C55" s="436"/>
      <c r="D55" s="436"/>
      <c r="E55" s="436"/>
      <c r="F55" s="436"/>
      <c r="G55" s="436"/>
    </row>
    <row r="56" ht="15.75">
      <c r="A56" s="3"/>
    </row>
    <row r="57" spans="1:7" ht="46.5" customHeight="1">
      <c r="A57" s="6" t="s">
        <v>13</v>
      </c>
      <c r="B57" s="6" t="s">
        <v>196</v>
      </c>
      <c r="C57" s="6" t="s">
        <v>197</v>
      </c>
      <c r="D57" s="6" t="s">
        <v>198</v>
      </c>
      <c r="E57" s="6" t="s">
        <v>19</v>
      </c>
      <c r="F57" s="6" t="s">
        <v>20</v>
      </c>
      <c r="G57" s="6" t="s">
        <v>21</v>
      </c>
    </row>
    <row r="58" spans="1:7" ht="15.75">
      <c r="A58" s="6">
        <v>1</v>
      </c>
      <c r="B58" s="6">
        <v>2</v>
      </c>
      <c r="C58" s="6">
        <v>3</v>
      </c>
      <c r="D58" s="6">
        <v>4</v>
      </c>
      <c r="E58" s="6">
        <v>5</v>
      </c>
      <c r="F58" s="6">
        <v>6</v>
      </c>
      <c r="G58" s="6">
        <v>7</v>
      </c>
    </row>
    <row r="59" spans="1:7" ht="15.75">
      <c r="A59" s="6">
        <v>1</v>
      </c>
      <c r="B59" s="17" t="s">
        <v>199</v>
      </c>
      <c r="C59" s="6"/>
      <c r="D59" s="6"/>
      <c r="E59" s="6"/>
      <c r="F59" s="6"/>
      <c r="G59" s="6"/>
    </row>
    <row r="60" spans="1:7" ht="15.75">
      <c r="A60" s="6"/>
      <c r="B60" s="31" t="s">
        <v>292</v>
      </c>
      <c r="C60" s="40" t="s">
        <v>79</v>
      </c>
      <c r="D60" s="39" t="s">
        <v>61</v>
      </c>
      <c r="E60" s="38">
        <f>C41</f>
        <v>359358</v>
      </c>
      <c r="F60" s="6">
        <v>0</v>
      </c>
      <c r="G60" s="43">
        <f>E60</f>
        <v>359358</v>
      </c>
    </row>
    <row r="61" spans="1:7" ht="75">
      <c r="A61" s="6"/>
      <c r="B61" s="31" t="s">
        <v>242</v>
      </c>
      <c r="C61" s="37" t="s">
        <v>79</v>
      </c>
      <c r="D61" s="37" t="s">
        <v>61</v>
      </c>
      <c r="E61" s="39">
        <f>284000-100000</f>
        <v>184000</v>
      </c>
      <c r="F61" s="6">
        <v>0</v>
      </c>
      <c r="G61" s="22">
        <f aca="true" t="shared" si="0" ref="G61:G73">E61</f>
        <v>184000</v>
      </c>
    </row>
    <row r="62" spans="1:7" ht="98.25" customHeight="1" hidden="1">
      <c r="A62" s="6"/>
      <c r="B62" s="31" t="s">
        <v>334</v>
      </c>
      <c r="C62" s="37" t="s">
        <v>79</v>
      </c>
      <c r="D62" s="37" t="s">
        <v>61</v>
      </c>
      <c r="E62" s="39">
        <v>0</v>
      </c>
      <c r="F62" s="6">
        <v>0</v>
      </c>
      <c r="G62" s="22">
        <f t="shared" si="0"/>
        <v>0</v>
      </c>
    </row>
    <row r="63" spans="1:7" ht="34.5" customHeight="1">
      <c r="A63" s="6"/>
      <c r="B63" s="31" t="s">
        <v>243</v>
      </c>
      <c r="C63" s="37" t="s">
        <v>79</v>
      </c>
      <c r="D63" s="37" t="s">
        <v>61</v>
      </c>
      <c r="E63" s="39">
        <v>175358</v>
      </c>
      <c r="F63" s="6">
        <v>0</v>
      </c>
      <c r="G63" s="22">
        <f t="shared" si="0"/>
        <v>175358</v>
      </c>
    </row>
    <row r="64" spans="1:7" ht="18" customHeight="1">
      <c r="A64" s="6">
        <v>2</v>
      </c>
      <c r="B64" s="33" t="s">
        <v>200</v>
      </c>
      <c r="C64" s="28"/>
      <c r="D64" s="35"/>
      <c r="F64" s="6"/>
      <c r="G64" s="22"/>
    </row>
    <row r="65" spans="1:7" ht="68.25" customHeight="1">
      <c r="A65" s="6"/>
      <c r="B65" s="31" t="s">
        <v>244</v>
      </c>
      <c r="C65" s="36" t="s">
        <v>291</v>
      </c>
      <c r="D65" s="36" t="s">
        <v>70</v>
      </c>
      <c r="E65" s="40">
        <v>9</v>
      </c>
      <c r="F65" s="6">
        <v>0</v>
      </c>
      <c r="G65" s="22">
        <f t="shared" si="0"/>
        <v>9</v>
      </c>
    </row>
    <row r="66" spans="1:7" ht="90" hidden="1">
      <c r="A66" s="6"/>
      <c r="B66" s="31" t="s">
        <v>335</v>
      </c>
      <c r="C66" s="36" t="s">
        <v>66</v>
      </c>
      <c r="D66" s="36" t="s">
        <v>70</v>
      </c>
      <c r="E66" s="40">
        <v>3</v>
      </c>
      <c r="F66" s="6">
        <v>0</v>
      </c>
      <c r="G66" s="22">
        <f t="shared" si="0"/>
        <v>3</v>
      </c>
    </row>
    <row r="67" spans="1:7" ht="38.25" customHeight="1">
      <c r="A67" s="6"/>
      <c r="B67" s="31" t="s">
        <v>287</v>
      </c>
      <c r="C67" s="37" t="s">
        <v>66</v>
      </c>
      <c r="D67" s="37" t="s">
        <v>69</v>
      </c>
      <c r="E67" s="40">
        <v>130</v>
      </c>
      <c r="F67" s="6">
        <v>0</v>
      </c>
      <c r="G67" s="22">
        <f t="shared" si="0"/>
        <v>130</v>
      </c>
    </row>
    <row r="68" spans="1:7" ht="16.5" customHeight="1">
      <c r="A68" s="6">
        <v>3</v>
      </c>
      <c r="B68" s="33" t="s">
        <v>201</v>
      </c>
      <c r="C68" s="28"/>
      <c r="D68" s="36"/>
      <c r="E68" s="29"/>
      <c r="F68" s="6"/>
      <c r="G68" s="22"/>
    </row>
    <row r="69" spans="1:7" ht="70.5" customHeight="1">
      <c r="A69" s="6"/>
      <c r="B69" s="31" t="s">
        <v>288</v>
      </c>
      <c r="C69" s="37" t="s">
        <v>79</v>
      </c>
      <c r="D69" s="36" t="s">
        <v>70</v>
      </c>
      <c r="E69" s="39">
        <f>E61/E65</f>
        <v>20444.444444444445</v>
      </c>
      <c r="F69" s="6">
        <v>0</v>
      </c>
      <c r="G69" s="22">
        <f t="shared" si="0"/>
        <v>20444.444444444445</v>
      </c>
    </row>
    <row r="70" spans="1:7" ht="82.5" customHeight="1" hidden="1">
      <c r="A70" s="6"/>
      <c r="B70" s="31" t="s">
        <v>289</v>
      </c>
      <c r="C70" s="37" t="s">
        <v>79</v>
      </c>
      <c r="D70" s="36" t="s">
        <v>70</v>
      </c>
      <c r="E70" s="39">
        <f>E62/E66</f>
        <v>0</v>
      </c>
      <c r="F70" s="6">
        <v>0</v>
      </c>
      <c r="G70" s="22">
        <f t="shared" si="0"/>
        <v>0</v>
      </c>
    </row>
    <row r="71" spans="1:7" ht="24" customHeight="1">
      <c r="A71" s="6"/>
      <c r="B71" s="34" t="s">
        <v>302</v>
      </c>
      <c r="C71" s="37" t="s">
        <v>79</v>
      </c>
      <c r="D71" s="35" t="s">
        <v>69</v>
      </c>
      <c r="E71" s="39">
        <f>E63/E67</f>
        <v>1348.9076923076923</v>
      </c>
      <c r="F71" s="6">
        <v>0</v>
      </c>
      <c r="G71" s="22">
        <f t="shared" si="0"/>
        <v>1348.9076923076923</v>
      </c>
    </row>
    <row r="72" spans="1:7" ht="16.5" customHeight="1">
      <c r="A72" s="6">
        <v>4</v>
      </c>
      <c r="B72" s="33" t="s">
        <v>202</v>
      </c>
      <c r="C72" s="42"/>
      <c r="D72" s="35"/>
      <c r="E72" s="41"/>
      <c r="F72" s="6"/>
      <c r="G72" s="22"/>
    </row>
    <row r="73" spans="1:7" ht="16.5" customHeight="1">
      <c r="A73" s="6"/>
      <c r="B73" s="28" t="s">
        <v>290</v>
      </c>
      <c r="C73" s="37" t="s">
        <v>71</v>
      </c>
      <c r="D73" s="36" t="s">
        <v>70</v>
      </c>
      <c r="E73" s="41">
        <v>100</v>
      </c>
      <c r="F73" s="6">
        <v>0</v>
      </c>
      <c r="G73" s="22">
        <f t="shared" si="0"/>
        <v>100</v>
      </c>
    </row>
    <row r="74" spans="1:7" ht="16.5" customHeight="1">
      <c r="A74" s="16"/>
      <c r="B74" s="15"/>
      <c r="C74" s="16"/>
      <c r="D74" s="26"/>
      <c r="F74" s="16"/>
      <c r="G74" s="32"/>
    </row>
    <row r="75" ht="15.75">
      <c r="A75" s="3"/>
    </row>
    <row r="76" spans="1:7" ht="15.75">
      <c r="A76" s="18" t="s">
        <v>73</v>
      </c>
      <c r="B76" s="18"/>
      <c r="C76" s="18"/>
      <c r="D76" s="8"/>
      <c r="E76" s="21"/>
      <c r="F76" s="500" t="s">
        <v>74</v>
      </c>
      <c r="G76" s="500"/>
    </row>
    <row r="77" spans="1:7" ht="15">
      <c r="A77" s="19"/>
      <c r="B77" s="19"/>
      <c r="C77" s="19"/>
      <c r="D77" s="5" t="s">
        <v>203</v>
      </c>
      <c r="E77" s="20"/>
      <c r="F77" s="472" t="s">
        <v>75</v>
      </c>
      <c r="G77" s="473"/>
    </row>
    <row r="78" spans="1:7" ht="15.75">
      <c r="A78" s="474"/>
      <c r="B78" s="474"/>
      <c r="C78" s="19"/>
      <c r="D78" s="2"/>
      <c r="E78" s="19"/>
      <c r="F78" s="19"/>
      <c r="G78" s="19"/>
    </row>
    <row r="79" spans="1:7" ht="15.75">
      <c r="A79" s="433" t="s">
        <v>204</v>
      </c>
      <c r="B79" s="433"/>
      <c r="C79" s="19"/>
      <c r="E79" s="19"/>
      <c r="F79" s="19"/>
      <c r="G79" s="19"/>
    </row>
    <row r="80" spans="1:7" ht="15.75" customHeight="1">
      <c r="A80" s="3" t="s">
        <v>281</v>
      </c>
      <c r="B80" s="3"/>
      <c r="C80" s="18"/>
      <c r="D80" s="8"/>
      <c r="E80" s="21"/>
      <c r="F80" s="500" t="s">
        <v>76</v>
      </c>
      <c r="G80" s="500"/>
    </row>
    <row r="81" spans="1:7" ht="15.75">
      <c r="A81" s="3" t="s">
        <v>286</v>
      </c>
      <c r="B81" s="3"/>
      <c r="C81" s="19"/>
      <c r="D81" s="5" t="s">
        <v>203</v>
      </c>
      <c r="E81" s="5"/>
      <c r="F81" s="431" t="s">
        <v>75</v>
      </c>
      <c r="G81" s="432"/>
    </row>
    <row r="82" spans="1:7" ht="15.75">
      <c r="A82" s="3"/>
      <c r="B82" s="3"/>
      <c r="C82" s="19"/>
      <c r="D82" s="5"/>
      <c r="E82" s="5"/>
      <c r="F82" s="97"/>
      <c r="G82" s="408"/>
    </row>
    <row r="83" spans="1:7" ht="15.75">
      <c r="A83" s="3"/>
      <c r="B83" s="101"/>
      <c r="C83" s="19"/>
      <c r="D83" s="5"/>
      <c r="E83" s="5"/>
      <c r="F83" s="97"/>
      <c r="G83" s="408"/>
    </row>
    <row r="84" spans="1:7" ht="15.75">
      <c r="A84" s="1"/>
      <c r="B84" s="92" t="s">
        <v>162</v>
      </c>
      <c r="C84" s="2"/>
      <c r="F84" s="475"/>
      <c r="G84" s="475"/>
    </row>
    <row r="85" ht="15">
      <c r="B85" s="23" t="s">
        <v>163</v>
      </c>
    </row>
  </sheetData>
  <sheetProtection/>
  <mergeCells count="40">
    <mergeCell ref="A79:B79"/>
    <mergeCell ref="F80:G80"/>
    <mergeCell ref="F81:G81"/>
    <mergeCell ref="F84:G84"/>
    <mergeCell ref="A45:A46"/>
    <mergeCell ref="B45:G45"/>
    <mergeCell ref="B55:G55"/>
    <mergeCell ref="F76:G76"/>
    <mergeCell ref="F77:G77"/>
    <mergeCell ref="A78:B78"/>
    <mergeCell ref="B31:D31"/>
    <mergeCell ref="B33:G33"/>
    <mergeCell ref="B34:G34"/>
    <mergeCell ref="A36:A37"/>
    <mergeCell ref="B36:G36"/>
    <mergeCell ref="A42:B42"/>
    <mergeCell ref="B25:G25"/>
    <mergeCell ref="B26:G26"/>
    <mergeCell ref="B27:G27"/>
    <mergeCell ref="B28:G28"/>
    <mergeCell ref="B29:G29"/>
    <mergeCell ref="B30:G30"/>
    <mergeCell ref="E17:F17"/>
    <mergeCell ref="B20:G20"/>
    <mergeCell ref="B21:G21"/>
    <mergeCell ref="B22:G22"/>
    <mergeCell ref="B23:G23"/>
    <mergeCell ref="B24:G24"/>
    <mergeCell ref="A10:G10"/>
    <mergeCell ref="D12:F12"/>
    <mergeCell ref="D13:E13"/>
    <mergeCell ref="D14:F14"/>
    <mergeCell ref="D15:E15"/>
    <mergeCell ref="E16:F16"/>
    <mergeCell ref="E1:G1"/>
    <mergeCell ref="E4:G4"/>
    <mergeCell ref="E5:G5"/>
    <mergeCell ref="E6:G6"/>
    <mergeCell ref="E7:G7"/>
    <mergeCell ref="A9:G9"/>
  </mergeCells>
  <printOptions horizontalCentered="1" verticalCentered="1"/>
  <pageMargins left="0.3937007874015748" right="0.3937007874015748" top="1.1811023622047245" bottom="0.4724409448818898" header="0.31496062992125984" footer="0.31496062992125984"/>
  <pageSetup fitToHeight="4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04"/>
  <sheetViews>
    <sheetView zoomScalePageLayoutView="0" workbookViewId="0" topLeftCell="A64">
      <selection activeCell="B73" sqref="B73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16384" width="21.57421875" style="4" customWidth="1"/>
  </cols>
  <sheetData>
    <row r="1" spans="5:7" ht="77.25" customHeight="1">
      <c r="E1" s="484" t="s">
        <v>6</v>
      </c>
      <c r="F1" s="471"/>
      <c r="G1" s="471"/>
    </row>
    <row r="2" spans="1:5" ht="15.75">
      <c r="A2" s="1"/>
      <c r="E2" s="1"/>
    </row>
    <row r="3" spans="1:5" ht="15.75">
      <c r="A3" s="1"/>
      <c r="E3" s="1" t="s">
        <v>166</v>
      </c>
    </row>
    <row r="4" spans="1:7" ht="15.75" customHeight="1">
      <c r="A4" s="1"/>
      <c r="E4" s="468" t="s">
        <v>216</v>
      </c>
      <c r="F4" s="468"/>
      <c r="G4" s="468"/>
    </row>
    <row r="5" spans="1:7" ht="15.75">
      <c r="A5" s="1"/>
      <c r="B5" s="1"/>
      <c r="E5" s="485" t="s">
        <v>207</v>
      </c>
      <c r="F5" s="485"/>
      <c r="G5" s="485"/>
    </row>
    <row r="6" spans="1:7" ht="15" customHeight="1">
      <c r="A6" s="1"/>
      <c r="E6" s="486" t="s">
        <v>167</v>
      </c>
      <c r="F6" s="486"/>
      <c r="G6" s="486"/>
    </row>
    <row r="7" spans="5:7" ht="15">
      <c r="E7" s="443" t="s">
        <v>94</v>
      </c>
      <c r="F7" s="471"/>
      <c r="G7" s="471"/>
    </row>
    <row r="9" spans="1:7" ht="15.75">
      <c r="A9" s="455" t="s">
        <v>168</v>
      </c>
      <c r="B9" s="455"/>
      <c r="C9" s="455"/>
      <c r="D9" s="455"/>
      <c r="E9" s="455"/>
      <c r="F9" s="455"/>
      <c r="G9" s="455"/>
    </row>
    <row r="10" spans="1:7" ht="15.75">
      <c r="A10" s="455" t="s">
        <v>315</v>
      </c>
      <c r="B10" s="455"/>
      <c r="C10" s="455"/>
      <c r="D10" s="455"/>
      <c r="E10" s="455"/>
      <c r="F10" s="455"/>
      <c r="G10" s="455"/>
    </row>
    <row r="11" spans="1:7" ht="15.75">
      <c r="A11" s="156"/>
      <c r="B11" s="156"/>
      <c r="C11" s="156"/>
      <c r="D11" s="156"/>
      <c r="E11" s="156"/>
      <c r="F11" s="156"/>
      <c r="G11" s="156"/>
    </row>
    <row r="12" spans="1:7" ht="15" customHeight="1">
      <c r="A12" s="214" t="s">
        <v>304</v>
      </c>
      <c r="B12" s="405" t="s">
        <v>478</v>
      </c>
      <c r="C12" s="210"/>
      <c r="D12" s="456" t="s">
        <v>207</v>
      </c>
      <c r="E12" s="457"/>
      <c r="F12" s="458"/>
      <c r="G12" s="190">
        <v>38068238</v>
      </c>
    </row>
    <row r="13" spans="2:7" ht="26.25" customHeight="1">
      <c r="B13" s="407" t="s">
        <v>308</v>
      </c>
      <c r="C13" s="196"/>
      <c r="D13" s="459" t="s">
        <v>167</v>
      </c>
      <c r="E13" s="459"/>
      <c r="F13" s="212"/>
      <c r="G13" s="192" t="s">
        <v>305</v>
      </c>
    </row>
    <row r="14" spans="1:7" ht="15" customHeight="1">
      <c r="A14" s="213" t="s">
        <v>306</v>
      </c>
      <c r="B14" s="405" t="s">
        <v>479</v>
      </c>
      <c r="C14" s="211"/>
      <c r="D14" s="460" t="s">
        <v>207</v>
      </c>
      <c r="E14" s="461"/>
      <c r="F14" s="462"/>
      <c r="G14" s="193">
        <v>38068238</v>
      </c>
    </row>
    <row r="15" spans="1:7" ht="36" customHeight="1">
      <c r="A15" s="213"/>
      <c r="B15" s="407" t="s">
        <v>308</v>
      </c>
      <c r="C15" s="196"/>
      <c r="D15" s="463" t="s">
        <v>205</v>
      </c>
      <c r="E15" s="463"/>
      <c r="F15" s="212"/>
      <c r="G15" s="192" t="s">
        <v>305</v>
      </c>
    </row>
    <row r="16" spans="1:7" ht="40.5" customHeight="1">
      <c r="A16" s="194" t="s">
        <v>307</v>
      </c>
      <c r="B16" s="405" t="s">
        <v>336</v>
      </c>
      <c r="C16" s="405" t="s">
        <v>337</v>
      </c>
      <c r="D16" s="405" t="s">
        <v>148</v>
      </c>
      <c r="E16" s="464" t="s">
        <v>675</v>
      </c>
      <c r="F16" s="464"/>
      <c r="G16" s="405" t="s">
        <v>477</v>
      </c>
    </row>
    <row r="17" spans="1:7" ht="45" customHeight="1">
      <c r="A17" s="195"/>
      <c r="B17" s="196" t="s">
        <v>308</v>
      </c>
      <c r="C17" s="407" t="s">
        <v>309</v>
      </c>
      <c r="D17" s="191" t="s">
        <v>310</v>
      </c>
      <c r="E17" s="454" t="s">
        <v>311</v>
      </c>
      <c r="F17" s="454"/>
      <c r="G17" s="407" t="s">
        <v>312</v>
      </c>
    </row>
    <row r="18" spans="1:7" ht="51" customHeight="1">
      <c r="A18" s="2" t="s">
        <v>172</v>
      </c>
      <c r="B18" s="9" t="s">
        <v>210</v>
      </c>
      <c r="C18" s="95">
        <f>E18+G18</f>
        <v>2020500</v>
      </c>
      <c r="D18" s="9" t="s">
        <v>43</v>
      </c>
      <c r="E18" s="95">
        <v>0</v>
      </c>
      <c r="F18" s="9" t="s">
        <v>44</v>
      </c>
      <c r="G18" s="95">
        <f>1050000+240000+450000+560000+108000-32500-355000</f>
        <v>2020500</v>
      </c>
    </row>
    <row r="19" spans="1:7" ht="15.75">
      <c r="A19" s="2" t="s">
        <v>9</v>
      </c>
      <c r="B19" s="436" t="s">
        <v>209</v>
      </c>
      <c r="C19" s="436"/>
      <c r="D19" s="436"/>
      <c r="E19" s="436"/>
      <c r="F19" s="436"/>
      <c r="G19" s="436"/>
    </row>
    <row r="20" spans="1:7" ht="21" customHeight="1">
      <c r="A20" s="2"/>
      <c r="B20" s="436" t="s">
        <v>211</v>
      </c>
      <c r="C20" s="436"/>
      <c r="D20" s="436"/>
      <c r="E20" s="436"/>
      <c r="F20" s="436"/>
      <c r="G20" s="436"/>
    </row>
    <row r="21" spans="1:7" ht="15.75" customHeight="1">
      <c r="A21" s="2"/>
      <c r="B21" s="436" t="s">
        <v>213</v>
      </c>
      <c r="C21" s="436"/>
      <c r="D21" s="436"/>
      <c r="E21" s="436"/>
      <c r="F21" s="436"/>
      <c r="G21" s="436"/>
    </row>
    <row r="22" spans="1:7" ht="17.25" customHeight="1">
      <c r="A22" s="2"/>
      <c r="B22" s="436" t="s">
        <v>579</v>
      </c>
      <c r="C22" s="436"/>
      <c r="D22" s="436"/>
      <c r="E22" s="436"/>
      <c r="F22" s="436"/>
      <c r="G22" s="436"/>
    </row>
    <row r="23" spans="1:7" ht="32.25" customHeight="1">
      <c r="A23" s="2"/>
      <c r="B23" s="436" t="s">
        <v>144</v>
      </c>
      <c r="C23" s="436"/>
      <c r="D23" s="436"/>
      <c r="E23" s="436"/>
      <c r="F23" s="436"/>
      <c r="G23" s="436"/>
    </row>
    <row r="24" spans="1:7" ht="21" customHeight="1">
      <c r="A24" s="2"/>
      <c r="B24" s="450" t="s">
        <v>481</v>
      </c>
      <c r="C24" s="450"/>
      <c r="D24" s="450"/>
      <c r="E24" s="450"/>
      <c r="F24" s="450"/>
      <c r="G24" s="450"/>
    </row>
    <row r="25" spans="1:7" ht="31.5" customHeight="1">
      <c r="A25" s="2"/>
      <c r="B25" s="450" t="s">
        <v>592</v>
      </c>
      <c r="C25" s="450"/>
      <c r="D25" s="450"/>
      <c r="E25" s="450"/>
      <c r="F25" s="450"/>
      <c r="G25" s="450"/>
    </row>
    <row r="26" spans="1:7" ht="14.25" customHeight="1">
      <c r="A26" s="2"/>
      <c r="B26" s="9"/>
      <c r="C26" s="9"/>
      <c r="D26" s="9"/>
      <c r="E26" s="9"/>
      <c r="F26" s="9"/>
      <c r="G26" s="9"/>
    </row>
    <row r="27" spans="1:7" ht="24" customHeight="1">
      <c r="A27" s="2" t="s">
        <v>10</v>
      </c>
      <c r="B27" s="436" t="s">
        <v>41</v>
      </c>
      <c r="C27" s="436"/>
      <c r="D27" s="436"/>
      <c r="E27" s="436"/>
      <c r="F27" s="436"/>
      <c r="G27" s="436"/>
    </row>
    <row r="28" spans="1:7" ht="27" customHeight="1">
      <c r="A28" s="6"/>
      <c r="B28" s="496" t="s">
        <v>234</v>
      </c>
      <c r="C28" s="501"/>
      <c r="D28" s="501"/>
      <c r="E28" s="501"/>
      <c r="F28" s="501"/>
      <c r="G28" s="497"/>
    </row>
    <row r="29" spans="1:7" ht="34.5" customHeight="1">
      <c r="A29" s="6" t="s">
        <v>169</v>
      </c>
      <c r="B29" s="445" t="s">
        <v>338</v>
      </c>
      <c r="C29" s="446"/>
      <c r="D29" s="446"/>
      <c r="E29" s="446"/>
      <c r="F29" s="446"/>
      <c r="G29" s="447"/>
    </row>
    <row r="30" spans="1:7" ht="29.25" customHeight="1">
      <c r="A30" s="2" t="s">
        <v>11</v>
      </c>
      <c r="B30" s="436" t="s">
        <v>339</v>
      </c>
      <c r="C30" s="436"/>
      <c r="D30" s="436"/>
      <c r="E30" s="436"/>
      <c r="F30" s="436"/>
      <c r="G30" s="436"/>
    </row>
    <row r="31" spans="1:4" ht="20.25" customHeight="1">
      <c r="A31" s="2" t="s">
        <v>15</v>
      </c>
      <c r="B31" s="443" t="s">
        <v>12</v>
      </c>
      <c r="C31" s="443"/>
      <c r="D31" s="443"/>
    </row>
    <row r="32" ht="15.75">
      <c r="A32" s="3"/>
    </row>
    <row r="33" spans="1:7" ht="15.75">
      <c r="A33" s="6" t="s">
        <v>13</v>
      </c>
      <c r="B33" s="434" t="s">
        <v>14</v>
      </c>
      <c r="C33" s="434"/>
      <c r="D33" s="434"/>
      <c r="E33" s="434"/>
      <c r="F33" s="434"/>
      <c r="G33" s="434"/>
    </row>
    <row r="34" spans="1:7" ht="35.25" customHeight="1">
      <c r="A34" s="6" t="s">
        <v>169</v>
      </c>
      <c r="B34" s="445" t="s">
        <v>473</v>
      </c>
      <c r="C34" s="446"/>
      <c r="D34" s="446"/>
      <c r="E34" s="446"/>
      <c r="F34" s="446"/>
      <c r="G34" s="447"/>
    </row>
    <row r="35" spans="1:7" ht="15.75">
      <c r="A35" s="6" t="s">
        <v>170</v>
      </c>
      <c r="B35" s="502" t="s">
        <v>471</v>
      </c>
      <c r="C35" s="503"/>
      <c r="D35" s="503"/>
      <c r="E35" s="503"/>
      <c r="F35" s="503"/>
      <c r="G35" s="503"/>
    </row>
    <row r="36" spans="1:7" ht="15.75">
      <c r="A36" s="41" t="s">
        <v>171</v>
      </c>
      <c r="B36" s="504" t="s">
        <v>602</v>
      </c>
      <c r="C36" s="504"/>
      <c r="D36" s="504"/>
      <c r="E36" s="504"/>
      <c r="F36" s="504"/>
      <c r="G36" s="504"/>
    </row>
    <row r="37" spans="1:7" ht="15.75">
      <c r="A37" s="51"/>
      <c r="B37" s="303"/>
      <c r="C37" s="303"/>
      <c r="D37" s="303"/>
      <c r="E37" s="303"/>
      <c r="F37" s="303"/>
      <c r="G37" s="303"/>
    </row>
    <row r="38" spans="1:7" ht="15.75">
      <c r="A38" s="435" t="s">
        <v>22</v>
      </c>
      <c r="B38" s="436" t="s">
        <v>16</v>
      </c>
      <c r="C38" s="436"/>
      <c r="D38" s="436"/>
      <c r="E38" s="436"/>
      <c r="F38" s="436"/>
      <c r="G38" s="436"/>
    </row>
    <row r="39" spans="1:2" ht="15.75">
      <c r="A39" s="435"/>
      <c r="B39" s="1" t="s">
        <v>17</v>
      </c>
    </row>
    <row r="40" spans="1:6" ht="31.5">
      <c r="A40" s="6" t="s">
        <v>13</v>
      </c>
      <c r="B40" s="6" t="s">
        <v>18</v>
      </c>
      <c r="C40" s="6" t="s">
        <v>19</v>
      </c>
      <c r="D40" s="6" t="s">
        <v>20</v>
      </c>
      <c r="E40" s="6" t="s">
        <v>21</v>
      </c>
      <c r="F40" s="16"/>
    </row>
    <row r="41" spans="1:6" ht="15.75">
      <c r="A41" s="6">
        <v>1</v>
      </c>
      <c r="B41" s="6">
        <v>2</v>
      </c>
      <c r="C41" s="6">
        <v>3</v>
      </c>
      <c r="D41" s="6">
        <v>4</v>
      </c>
      <c r="E41" s="6">
        <v>6</v>
      </c>
      <c r="F41" s="16"/>
    </row>
    <row r="42" spans="1:6" ht="90">
      <c r="A42" s="6" t="s">
        <v>169</v>
      </c>
      <c r="B42" s="12" t="s">
        <v>473</v>
      </c>
      <c r="C42" s="13">
        <f>E18</f>
        <v>0</v>
      </c>
      <c r="D42" s="13">
        <f>450000+450000-32500</f>
        <v>867500</v>
      </c>
      <c r="E42" s="13">
        <f>C42+D42</f>
        <v>867500</v>
      </c>
      <c r="F42" s="129"/>
    </row>
    <row r="43" spans="1:6" ht="75">
      <c r="A43" s="6" t="s">
        <v>170</v>
      </c>
      <c r="B43" s="12" t="s">
        <v>471</v>
      </c>
      <c r="C43" s="13">
        <v>0</v>
      </c>
      <c r="D43" s="13">
        <f>600000-355000</f>
        <v>245000</v>
      </c>
      <c r="E43" s="13">
        <f>D43</f>
        <v>245000</v>
      </c>
      <c r="F43" s="129"/>
    </row>
    <row r="44" spans="1:6" ht="76.5" customHeight="1">
      <c r="A44" s="6">
        <v>3</v>
      </c>
      <c r="B44" s="12" t="str">
        <f>B36</f>
        <v>Придбання у комунальну власність квартир для надання у тимчасове користування внутрішньо переміщеним особам</v>
      </c>
      <c r="C44" s="13">
        <v>0</v>
      </c>
      <c r="D44" s="13">
        <f>240000+560000+108000</f>
        <v>908000</v>
      </c>
      <c r="E44" s="13">
        <f>D44</f>
        <v>908000</v>
      </c>
      <c r="F44" s="129"/>
    </row>
    <row r="45" spans="1:6" ht="15.75">
      <c r="A45" s="434" t="s">
        <v>21</v>
      </c>
      <c r="B45" s="434"/>
      <c r="C45" s="14">
        <f>SUM(C42:C42)</f>
        <v>0</v>
      </c>
      <c r="D45" s="14">
        <f>SUM(D42:D44)</f>
        <v>2020500</v>
      </c>
      <c r="E45" s="14">
        <f>C45+D45</f>
        <v>2020500</v>
      </c>
      <c r="F45" s="131"/>
    </row>
    <row r="46" ht="15.75">
      <c r="A46" s="3"/>
    </row>
    <row r="47" ht="15.75">
      <c r="A47" s="3"/>
    </row>
    <row r="48" spans="1:7" ht="15.75">
      <c r="A48" s="435" t="s">
        <v>194</v>
      </c>
      <c r="B48" s="436" t="s">
        <v>23</v>
      </c>
      <c r="C48" s="436"/>
      <c r="D48" s="436"/>
      <c r="E48" s="436"/>
      <c r="F48" s="436"/>
      <c r="G48" s="436"/>
    </row>
    <row r="49" spans="1:2" ht="15.75">
      <c r="A49" s="435"/>
      <c r="B49" s="1" t="s">
        <v>17</v>
      </c>
    </row>
    <row r="50" ht="15.75">
      <c r="A50" s="3"/>
    </row>
    <row r="51" spans="2:5" ht="31.5">
      <c r="B51" s="6" t="s">
        <v>193</v>
      </c>
      <c r="C51" s="6" t="s">
        <v>19</v>
      </c>
      <c r="D51" s="6" t="s">
        <v>20</v>
      </c>
      <c r="E51" s="6" t="s">
        <v>21</v>
      </c>
    </row>
    <row r="52" spans="2:5" ht="15.75">
      <c r="B52" s="6">
        <v>1</v>
      </c>
      <c r="C52" s="6">
        <v>2</v>
      </c>
      <c r="D52" s="6">
        <v>3</v>
      </c>
      <c r="E52" s="6">
        <v>4</v>
      </c>
    </row>
    <row r="53" spans="2:5" ht="105">
      <c r="B53" s="146" t="s">
        <v>474</v>
      </c>
      <c r="C53" s="24">
        <f>E18</f>
        <v>0</v>
      </c>
      <c r="D53" s="24">
        <f>600000-355000</f>
        <v>245000</v>
      </c>
      <c r="E53" s="24">
        <f>D53</f>
        <v>245000</v>
      </c>
    </row>
    <row r="54" spans="2:5" ht="135">
      <c r="B54" s="146" t="s">
        <v>635</v>
      </c>
      <c r="C54" s="24">
        <v>0</v>
      </c>
      <c r="D54" s="24">
        <f>450000+450000-32500</f>
        <v>867500</v>
      </c>
      <c r="E54" s="24">
        <f>D54</f>
        <v>867500</v>
      </c>
    </row>
    <row r="55" spans="2:5" ht="141.75" customHeight="1">
      <c r="B55" s="146" t="s">
        <v>636</v>
      </c>
      <c r="C55" s="24">
        <v>0</v>
      </c>
      <c r="D55" s="24">
        <f>240000+560000+108000</f>
        <v>908000</v>
      </c>
      <c r="E55" s="24">
        <f>D55</f>
        <v>908000</v>
      </c>
    </row>
    <row r="56" spans="2:5" ht="15.75">
      <c r="B56" s="17" t="s">
        <v>21</v>
      </c>
      <c r="C56" s="25">
        <f>C53</f>
        <v>0</v>
      </c>
      <c r="D56" s="25">
        <f>D53+D55+D54</f>
        <v>2020500</v>
      </c>
      <c r="E56" s="25">
        <f>E53+E55+E54</f>
        <v>2020500</v>
      </c>
    </row>
    <row r="57" ht="15.75">
      <c r="A57" s="3"/>
    </row>
    <row r="58" spans="1:7" ht="15.75">
      <c r="A58" s="2" t="s">
        <v>47</v>
      </c>
      <c r="B58" s="436" t="s">
        <v>195</v>
      </c>
      <c r="C58" s="436"/>
      <c r="D58" s="436"/>
      <c r="E58" s="436"/>
      <c r="F58" s="436"/>
      <c r="G58" s="436"/>
    </row>
    <row r="59" ht="15.75">
      <c r="A59" s="3"/>
    </row>
    <row r="60" spans="1:7" ht="46.5" customHeight="1">
      <c r="A60" s="6" t="s">
        <v>13</v>
      </c>
      <c r="B60" s="6" t="s">
        <v>196</v>
      </c>
      <c r="C60" s="6" t="s">
        <v>197</v>
      </c>
      <c r="D60" s="6" t="s">
        <v>198</v>
      </c>
      <c r="E60" s="6" t="s">
        <v>19</v>
      </c>
      <c r="F60" s="6" t="s">
        <v>20</v>
      </c>
      <c r="G60" s="6" t="s">
        <v>21</v>
      </c>
    </row>
    <row r="61" spans="1:7" ht="15.75">
      <c r="A61" s="6">
        <v>1</v>
      </c>
      <c r="B61" s="6">
        <v>2</v>
      </c>
      <c r="C61" s="6">
        <v>3</v>
      </c>
      <c r="D61" s="6">
        <v>4</v>
      </c>
      <c r="E61" s="6">
        <v>5</v>
      </c>
      <c r="F61" s="6">
        <v>6</v>
      </c>
      <c r="G61" s="6">
        <v>7</v>
      </c>
    </row>
    <row r="62" spans="1:7" ht="36" customHeight="1">
      <c r="A62" s="6" t="s">
        <v>169</v>
      </c>
      <c r="B62" s="496" t="s">
        <v>341</v>
      </c>
      <c r="C62" s="505"/>
      <c r="D62" s="505"/>
      <c r="E62" s="505"/>
      <c r="F62" s="505"/>
      <c r="G62" s="506"/>
    </row>
    <row r="63" spans="1:7" ht="15.75">
      <c r="A63" s="6"/>
      <c r="B63" s="17" t="s">
        <v>189</v>
      </c>
      <c r="C63" s="6"/>
      <c r="D63" s="6"/>
      <c r="E63" s="6"/>
      <c r="F63" s="6"/>
      <c r="G63" s="6"/>
    </row>
    <row r="64" spans="1:7" ht="18.75" customHeight="1">
      <c r="A64" s="6"/>
      <c r="B64" s="44" t="s">
        <v>57</v>
      </c>
      <c r="C64" s="6" t="s">
        <v>154</v>
      </c>
      <c r="D64" s="6" t="s">
        <v>61</v>
      </c>
      <c r="E64" s="36" t="s">
        <v>109</v>
      </c>
      <c r="F64" s="47">
        <f>450000+450000-32500</f>
        <v>867500</v>
      </c>
      <c r="G64" s="22">
        <f>F64</f>
        <v>867500</v>
      </c>
    </row>
    <row r="65" spans="1:7" ht="15.75">
      <c r="A65" s="6"/>
      <c r="B65" s="17" t="s">
        <v>200</v>
      </c>
      <c r="C65" s="6"/>
      <c r="D65" s="6"/>
      <c r="E65" s="36"/>
      <c r="F65" s="6"/>
      <c r="G65" s="22"/>
    </row>
    <row r="66" spans="1:7" ht="34.5" customHeight="1">
      <c r="A66" s="6"/>
      <c r="B66" s="7" t="s">
        <v>149</v>
      </c>
      <c r="C66" s="6" t="s">
        <v>66</v>
      </c>
      <c r="D66" s="39" t="s">
        <v>70</v>
      </c>
      <c r="E66" s="36" t="s">
        <v>109</v>
      </c>
      <c r="F66" s="41">
        <v>3</v>
      </c>
      <c r="G66" s="22">
        <f>F66</f>
        <v>3</v>
      </c>
    </row>
    <row r="67" spans="1:7" ht="16.5" customHeight="1">
      <c r="A67" s="6"/>
      <c r="B67" s="17" t="s">
        <v>201</v>
      </c>
      <c r="C67" s="6"/>
      <c r="D67" s="39"/>
      <c r="E67" s="36"/>
      <c r="F67" s="29"/>
      <c r="G67" s="22"/>
    </row>
    <row r="68" spans="1:7" ht="36" customHeight="1">
      <c r="A68" s="6"/>
      <c r="B68" s="7" t="s">
        <v>150</v>
      </c>
      <c r="C68" s="6" t="s">
        <v>79</v>
      </c>
      <c r="D68" s="39" t="s">
        <v>70</v>
      </c>
      <c r="E68" s="36" t="s">
        <v>109</v>
      </c>
      <c r="F68" s="39">
        <f>F64/F66</f>
        <v>289166.6666666667</v>
      </c>
      <c r="G68" s="22">
        <f>F68</f>
        <v>289166.6666666667</v>
      </c>
    </row>
    <row r="69" spans="1:7" ht="15.75">
      <c r="A69" s="6"/>
      <c r="B69" s="17" t="s">
        <v>202</v>
      </c>
      <c r="C69" s="6"/>
      <c r="D69" s="39"/>
      <c r="E69" s="36"/>
      <c r="F69" s="39"/>
      <c r="G69" s="22"/>
    </row>
    <row r="70" spans="1:7" ht="47.25">
      <c r="A70" s="6"/>
      <c r="B70" s="143" t="s">
        <v>38</v>
      </c>
      <c r="C70" s="36" t="s">
        <v>71</v>
      </c>
      <c r="D70" s="40" t="s">
        <v>70</v>
      </c>
      <c r="E70" s="36" t="s">
        <v>109</v>
      </c>
      <c r="F70" s="39">
        <v>100</v>
      </c>
      <c r="G70" s="22">
        <v>100</v>
      </c>
    </row>
    <row r="71" spans="1:7" ht="51" customHeight="1" hidden="1">
      <c r="A71" s="6"/>
      <c r="B71" s="7" t="s">
        <v>151</v>
      </c>
      <c r="C71" s="6" t="s">
        <v>71</v>
      </c>
      <c r="D71" s="39" t="s">
        <v>70</v>
      </c>
      <c r="E71" s="36" t="s">
        <v>109</v>
      </c>
      <c r="F71" s="39">
        <f>(F66/10)*100</f>
        <v>30</v>
      </c>
      <c r="G71" s="22">
        <f>F71</f>
        <v>30</v>
      </c>
    </row>
    <row r="72" spans="1:7" ht="48.75" customHeight="1" hidden="1">
      <c r="A72" s="7"/>
      <c r="B72" s="7" t="s">
        <v>152</v>
      </c>
      <c r="C72" s="6" t="s">
        <v>71</v>
      </c>
      <c r="D72" s="6" t="s">
        <v>70</v>
      </c>
      <c r="E72" s="36" t="s">
        <v>109</v>
      </c>
      <c r="F72" s="106" t="e">
        <f>(#REF!/290)*100</f>
        <v>#REF!</v>
      </c>
      <c r="G72" s="22" t="e">
        <f>F72</f>
        <v>#REF!</v>
      </c>
    </row>
    <row r="73" spans="1:7" ht="15.75">
      <c r="A73" s="29" t="s">
        <v>170</v>
      </c>
      <c r="B73" s="55" t="s">
        <v>340</v>
      </c>
      <c r="C73" s="28"/>
      <c r="D73" s="28"/>
      <c r="E73" s="28"/>
      <c r="F73" s="28"/>
      <c r="G73" s="28"/>
    </row>
    <row r="74" spans="1:7" ht="15.75">
      <c r="A74" s="29"/>
      <c r="B74" s="17" t="s">
        <v>199</v>
      </c>
      <c r="C74" s="6" t="s">
        <v>28</v>
      </c>
      <c r="D74" s="6" t="s">
        <v>28</v>
      </c>
      <c r="E74" s="29"/>
      <c r="F74" s="29"/>
      <c r="G74" s="29"/>
    </row>
    <row r="75" spans="1:7" ht="15.75">
      <c r="A75" s="29"/>
      <c r="B75" s="7" t="s">
        <v>48</v>
      </c>
      <c r="C75" s="6" t="s">
        <v>79</v>
      </c>
      <c r="D75" s="6" t="s">
        <v>61</v>
      </c>
      <c r="E75" s="41" t="s">
        <v>109</v>
      </c>
      <c r="F75" s="39">
        <f>600000-355000</f>
        <v>245000</v>
      </c>
      <c r="G75" s="22">
        <f>F75</f>
        <v>245000</v>
      </c>
    </row>
    <row r="76" spans="1:7" ht="15.75">
      <c r="A76" s="29"/>
      <c r="B76" s="52" t="s">
        <v>200</v>
      </c>
      <c r="C76" s="6"/>
      <c r="D76" s="6"/>
      <c r="E76" s="41"/>
      <c r="F76" s="39"/>
      <c r="G76" s="22"/>
    </row>
    <row r="77" spans="1:7" ht="31.5">
      <c r="A77" s="29"/>
      <c r="B77" s="7" t="s">
        <v>149</v>
      </c>
      <c r="C77" s="41" t="s">
        <v>66</v>
      </c>
      <c r="D77" s="6" t="s">
        <v>70</v>
      </c>
      <c r="E77" s="41" t="s">
        <v>109</v>
      </c>
      <c r="F77" s="39">
        <v>1</v>
      </c>
      <c r="G77" s="22">
        <f>F77</f>
        <v>1</v>
      </c>
    </row>
    <row r="78" spans="1:7" ht="15.75">
      <c r="A78" s="29"/>
      <c r="B78" s="17" t="s">
        <v>201</v>
      </c>
      <c r="C78" s="29"/>
      <c r="D78" s="29"/>
      <c r="E78" s="41"/>
      <c r="F78" s="39"/>
      <c r="G78" s="22"/>
    </row>
    <row r="79" spans="1:7" ht="31.5">
      <c r="A79" s="29"/>
      <c r="B79" s="44" t="s">
        <v>150</v>
      </c>
      <c r="C79" s="6" t="s">
        <v>79</v>
      </c>
      <c r="D79" s="6" t="s">
        <v>70</v>
      </c>
      <c r="E79" s="41" t="s">
        <v>109</v>
      </c>
      <c r="F79" s="39">
        <f>F75/F77</f>
        <v>245000</v>
      </c>
      <c r="G79" s="22">
        <f>F79</f>
        <v>245000</v>
      </c>
    </row>
    <row r="80" spans="1:7" ht="15.75">
      <c r="A80" s="29"/>
      <c r="B80" s="52" t="s">
        <v>202</v>
      </c>
      <c r="C80" s="6"/>
      <c r="D80" s="6"/>
      <c r="E80" s="41"/>
      <c r="F80" s="39"/>
      <c r="G80" s="22"/>
    </row>
    <row r="81" spans="1:7" ht="47.25">
      <c r="A81" s="29"/>
      <c r="B81" s="143" t="s">
        <v>38</v>
      </c>
      <c r="C81" s="36" t="s">
        <v>71</v>
      </c>
      <c r="D81" s="40" t="s">
        <v>70</v>
      </c>
      <c r="E81" s="36" t="s">
        <v>109</v>
      </c>
      <c r="F81" s="39">
        <v>100</v>
      </c>
      <c r="G81" s="22">
        <v>100</v>
      </c>
    </row>
    <row r="82" spans="1:7" ht="57" customHeight="1" hidden="1">
      <c r="A82" s="29"/>
      <c r="B82" s="30" t="s">
        <v>151</v>
      </c>
      <c r="C82" s="40" t="s">
        <v>71</v>
      </c>
      <c r="D82" s="41" t="s">
        <v>70</v>
      </c>
      <c r="E82" s="41" t="s">
        <v>109</v>
      </c>
      <c r="F82" s="39">
        <v>100</v>
      </c>
      <c r="G82" s="22">
        <f>F82</f>
        <v>100</v>
      </c>
    </row>
    <row r="83" spans="1:7" ht="47.25" hidden="1">
      <c r="A83" s="29"/>
      <c r="B83" s="30" t="s">
        <v>152</v>
      </c>
      <c r="C83" s="41" t="s">
        <v>71</v>
      </c>
      <c r="D83" s="41" t="s">
        <v>70</v>
      </c>
      <c r="E83" s="41" t="s">
        <v>109</v>
      </c>
      <c r="F83" s="39">
        <v>100</v>
      </c>
      <c r="G83" s="22">
        <f>F83</f>
        <v>100</v>
      </c>
    </row>
    <row r="84" spans="1:7" ht="15.75">
      <c r="A84" s="29" t="s">
        <v>170</v>
      </c>
      <c r="B84" s="55" t="s">
        <v>603</v>
      </c>
      <c r="C84" s="28"/>
      <c r="D84" s="28"/>
      <c r="E84" s="28"/>
      <c r="F84" s="28"/>
      <c r="G84" s="28"/>
    </row>
    <row r="85" spans="1:7" ht="15.75">
      <c r="A85" s="29"/>
      <c r="B85" s="17" t="s">
        <v>199</v>
      </c>
      <c r="C85" s="6" t="s">
        <v>28</v>
      </c>
      <c r="D85" s="6" t="s">
        <v>28</v>
      </c>
      <c r="E85" s="29"/>
      <c r="F85" s="29"/>
      <c r="G85" s="29"/>
    </row>
    <row r="86" spans="1:7" ht="15.75">
      <c r="A86" s="29"/>
      <c r="B86" s="7" t="s">
        <v>48</v>
      </c>
      <c r="C86" s="6" t="s">
        <v>79</v>
      </c>
      <c r="D86" s="6" t="s">
        <v>61</v>
      </c>
      <c r="E86" s="41" t="s">
        <v>109</v>
      </c>
      <c r="F86" s="39">
        <f>240000+560000+108000</f>
        <v>908000</v>
      </c>
      <c r="G86" s="22">
        <f>F86</f>
        <v>908000</v>
      </c>
    </row>
    <row r="87" spans="1:7" ht="15.75">
      <c r="A87" s="29"/>
      <c r="B87" s="52" t="s">
        <v>200</v>
      </c>
      <c r="C87" s="6"/>
      <c r="D87" s="6"/>
      <c r="E87" s="41"/>
      <c r="F87" s="39"/>
      <c r="G87" s="22"/>
    </row>
    <row r="88" spans="1:7" ht="31.5">
      <c r="A88" s="29"/>
      <c r="B88" s="7" t="s">
        <v>149</v>
      </c>
      <c r="C88" s="41" t="s">
        <v>66</v>
      </c>
      <c r="D88" s="6" t="s">
        <v>70</v>
      </c>
      <c r="E88" s="41" t="s">
        <v>109</v>
      </c>
      <c r="F88" s="39">
        <v>3</v>
      </c>
      <c r="G88" s="22">
        <f>F88</f>
        <v>3</v>
      </c>
    </row>
    <row r="89" spans="1:7" ht="15.75">
      <c r="A89" s="29"/>
      <c r="B89" s="17" t="s">
        <v>201</v>
      </c>
      <c r="C89" s="29"/>
      <c r="D89" s="29"/>
      <c r="E89" s="41"/>
      <c r="F89" s="39"/>
      <c r="G89" s="22"/>
    </row>
    <row r="90" spans="1:7" ht="31.5">
      <c r="A90" s="29"/>
      <c r="B90" s="44" t="s">
        <v>150</v>
      </c>
      <c r="C90" s="6" t="s">
        <v>79</v>
      </c>
      <c r="D90" s="6" t="s">
        <v>70</v>
      </c>
      <c r="E90" s="41" t="s">
        <v>109</v>
      </c>
      <c r="F90" s="39">
        <f>F86/F88</f>
        <v>302666.6666666667</v>
      </c>
      <c r="G90" s="22">
        <f>F90</f>
        <v>302666.6666666667</v>
      </c>
    </row>
    <row r="91" spans="1:7" ht="15.75">
      <c r="A91" s="29"/>
      <c r="B91" s="52" t="s">
        <v>202</v>
      </c>
      <c r="C91" s="6"/>
      <c r="D91" s="6"/>
      <c r="E91" s="41"/>
      <c r="F91" s="39"/>
      <c r="G91" s="22"/>
    </row>
    <row r="92" spans="1:7" ht="47.25">
      <c r="A92" s="29"/>
      <c r="B92" s="143" t="s">
        <v>38</v>
      </c>
      <c r="C92" s="36" t="s">
        <v>71</v>
      </c>
      <c r="D92" s="40" t="s">
        <v>70</v>
      </c>
      <c r="E92" s="36" t="s">
        <v>109</v>
      </c>
      <c r="F92" s="39">
        <v>100</v>
      </c>
      <c r="G92" s="22">
        <v>100</v>
      </c>
    </row>
    <row r="93" ht="15.75">
      <c r="A93" s="3"/>
    </row>
    <row r="94" ht="15.75">
      <c r="A94" s="3"/>
    </row>
    <row r="95" spans="1:7" ht="15.75">
      <c r="A95" s="3" t="s">
        <v>73</v>
      </c>
      <c r="B95" s="3"/>
      <c r="C95" s="3"/>
      <c r="D95" s="8"/>
      <c r="E95" s="75"/>
      <c r="F95" s="430" t="s">
        <v>74</v>
      </c>
      <c r="G95" s="430"/>
    </row>
    <row r="96" spans="1:7" ht="15">
      <c r="A96" s="85"/>
      <c r="B96" s="85"/>
      <c r="C96" s="85"/>
      <c r="D96" s="5" t="s">
        <v>203</v>
      </c>
      <c r="E96" s="86"/>
      <c r="F96" s="472" t="s">
        <v>75</v>
      </c>
      <c r="G96" s="473"/>
    </row>
    <row r="97" spans="1:7" ht="15.75">
      <c r="A97" s="474"/>
      <c r="B97" s="474"/>
      <c r="C97" s="85"/>
      <c r="D97" s="2"/>
      <c r="E97" s="85"/>
      <c r="F97" s="85"/>
      <c r="G97" s="85"/>
    </row>
    <row r="98" spans="1:7" ht="15.75">
      <c r="A98" s="433" t="s">
        <v>204</v>
      </c>
      <c r="B98" s="433"/>
      <c r="C98" s="85"/>
      <c r="E98" s="85"/>
      <c r="F98" s="85"/>
      <c r="G98" s="85"/>
    </row>
    <row r="99" spans="1:7" ht="15.75" customHeight="1">
      <c r="A99" s="3" t="s">
        <v>281</v>
      </c>
      <c r="B99" s="3"/>
      <c r="C99" s="3"/>
      <c r="D99" s="8"/>
      <c r="E99" s="75"/>
      <c r="F99" s="430" t="s">
        <v>76</v>
      </c>
      <c r="G99" s="430"/>
    </row>
    <row r="100" spans="1:7" ht="15.75">
      <c r="A100" s="3" t="s">
        <v>286</v>
      </c>
      <c r="B100" s="3"/>
      <c r="C100" s="85"/>
      <c r="D100" s="5" t="s">
        <v>203</v>
      </c>
      <c r="E100" s="5"/>
      <c r="F100" s="431" t="s">
        <v>75</v>
      </c>
      <c r="G100" s="432"/>
    </row>
    <row r="101" spans="1:7" ht="15.75">
      <c r="A101" s="3"/>
      <c r="B101" s="3"/>
      <c r="C101" s="85"/>
      <c r="D101" s="5"/>
      <c r="E101" s="5"/>
      <c r="F101" s="97"/>
      <c r="G101" s="408"/>
    </row>
    <row r="102" spans="1:7" ht="15.75">
      <c r="A102" s="3"/>
      <c r="B102" s="101"/>
      <c r="C102" s="85"/>
      <c r="D102" s="5"/>
      <c r="E102" s="5"/>
      <c r="F102" s="97"/>
      <c r="G102" s="408"/>
    </row>
    <row r="103" spans="1:7" ht="15.75">
      <c r="A103" s="1"/>
      <c r="B103" s="92" t="s">
        <v>162</v>
      </c>
      <c r="C103" s="2"/>
      <c r="F103" s="475"/>
      <c r="G103" s="475"/>
    </row>
    <row r="104" ht="15">
      <c r="B104" s="23" t="s">
        <v>163</v>
      </c>
    </row>
  </sheetData>
  <sheetProtection/>
  <mergeCells count="43">
    <mergeCell ref="F96:G96"/>
    <mergeCell ref="A97:B97"/>
    <mergeCell ref="A98:B98"/>
    <mergeCell ref="F99:G99"/>
    <mergeCell ref="F100:G100"/>
    <mergeCell ref="F103:G103"/>
    <mergeCell ref="A45:B45"/>
    <mergeCell ref="A48:A49"/>
    <mergeCell ref="B48:G48"/>
    <mergeCell ref="B58:G58"/>
    <mergeCell ref="B62:G62"/>
    <mergeCell ref="F95:G95"/>
    <mergeCell ref="B31:D31"/>
    <mergeCell ref="B33:G33"/>
    <mergeCell ref="B34:G34"/>
    <mergeCell ref="B35:G35"/>
    <mergeCell ref="B36:G36"/>
    <mergeCell ref="A38:A39"/>
    <mergeCell ref="B38:G38"/>
    <mergeCell ref="B24:G24"/>
    <mergeCell ref="B25:G25"/>
    <mergeCell ref="B27:G27"/>
    <mergeCell ref="B28:G28"/>
    <mergeCell ref="B29:G29"/>
    <mergeCell ref="B30:G30"/>
    <mergeCell ref="E17:F17"/>
    <mergeCell ref="B19:G19"/>
    <mergeCell ref="B20:G20"/>
    <mergeCell ref="B21:G21"/>
    <mergeCell ref="B22:G22"/>
    <mergeCell ref="B23:G23"/>
    <mergeCell ref="A10:G10"/>
    <mergeCell ref="D12:F12"/>
    <mergeCell ref="D13:E13"/>
    <mergeCell ref="D14:F14"/>
    <mergeCell ref="D15:E15"/>
    <mergeCell ref="E16:F16"/>
    <mergeCell ref="E1:G1"/>
    <mergeCell ref="E4:G4"/>
    <mergeCell ref="E5:G5"/>
    <mergeCell ref="E6:G6"/>
    <mergeCell ref="E7:G7"/>
    <mergeCell ref="A9:G9"/>
  </mergeCells>
  <printOptions/>
  <pageMargins left="0.1968503937007874" right="0.15748031496062992" top="1.1811023622047245" bottom="0.2755905511811024" header="0.31496062992125984" footer="0.31496062992125984"/>
  <pageSetup fitToHeight="5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77"/>
  <sheetViews>
    <sheetView zoomScalePageLayoutView="0" workbookViewId="0" topLeftCell="A31">
      <selection activeCell="K11" sqref="K11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16384" width="21.57421875" style="4" customWidth="1"/>
  </cols>
  <sheetData>
    <row r="1" spans="5:7" ht="77.25" customHeight="1">
      <c r="E1" s="484" t="s">
        <v>6</v>
      </c>
      <c r="F1" s="471"/>
      <c r="G1" s="471"/>
    </row>
    <row r="2" spans="1:5" ht="15.75">
      <c r="A2" s="1"/>
      <c r="E2" s="1"/>
    </row>
    <row r="3" spans="1:5" ht="15.75">
      <c r="A3" s="1"/>
      <c r="E3" s="1" t="s">
        <v>166</v>
      </c>
    </row>
    <row r="4" spans="1:7" ht="15.75" customHeight="1">
      <c r="A4" s="1"/>
      <c r="E4" s="468" t="s">
        <v>216</v>
      </c>
      <c r="F4" s="468"/>
      <c r="G4" s="468"/>
    </row>
    <row r="5" spans="1:7" ht="15.75">
      <c r="A5" s="1"/>
      <c r="B5" s="1"/>
      <c r="E5" s="485" t="s">
        <v>207</v>
      </c>
      <c r="F5" s="485"/>
      <c r="G5" s="485"/>
    </row>
    <row r="6" spans="1:7" ht="15" customHeight="1">
      <c r="A6" s="1"/>
      <c r="E6" s="486" t="s">
        <v>167</v>
      </c>
      <c r="F6" s="486"/>
      <c r="G6" s="486"/>
    </row>
    <row r="7" spans="5:7" ht="15">
      <c r="E7" s="443" t="s">
        <v>94</v>
      </c>
      <c r="F7" s="471"/>
      <c r="G7" s="471"/>
    </row>
    <row r="9" spans="1:7" ht="15.75">
      <c r="A9" s="455" t="s">
        <v>168</v>
      </c>
      <c r="B9" s="455"/>
      <c r="C9" s="455"/>
      <c r="D9" s="455"/>
      <c r="E9" s="455"/>
      <c r="F9" s="455"/>
      <c r="G9" s="455"/>
    </row>
    <row r="10" spans="1:7" ht="15.75">
      <c r="A10" s="455" t="s">
        <v>315</v>
      </c>
      <c r="B10" s="455"/>
      <c r="C10" s="455"/>
      <c r="D10" s="455"/>
      <c r="E10" s="455"/>
      <c r="F10" s="455"/>
      <c r="G10" s="455"/>
    </row>
    <row r="11" spans="1:7" ht="15.75">
      <c r="A11" s="156"/>
      <c r="B11" s="156"/>
      <c r="C11" s="156"/>
      <c r="D11" s="156"/>
      <c r="E11" s="156"/>
      <c r="F11" s="156"/>
      <c r="G11" s="156"/>
    </row>
    <row r="12" spans="1:7" ht="15" customHeight="1">
      <c r="A12" s="214" t="s">
        <v>304</v>
      </c>
      <c r="B12" s="405" t="s">
        <v>478</v>
      </c>
      <c r="C12" s="210"/>
      <c r="D12" s="456" t="s">
        <v>207</v>
      </c>
      <c r="E12" s="457"/>
      <c r="F12" s="458"/>
      <c r="G12" s="190">
        <v>38068238</v>
      </c>
    </row>
    <row r="13" spans="2:7" ht="26.25" customHeight="1">
      <c r="B13" s="407" t="s">
        <v>308</v>
      </c>
      <c r="C13" s="196"/>
      <c r="D13" s="459" t="s">
        <v>167</v>
      </c>
      <c r="E13" s="459"/>
      <c r="F13" s="212"/>
      <c r="G13" s="192" t="s">
        <v>305</v>
      </c>
    </row>
    <row r="14" spans="1:7" ht="15" customHeight="1">
      <c r="A14" s="213" t="s">
        <v>306</v>
      </c>
      <c r="B14" s="405" t="s">
        <v>479</v>
      </c>
      <c r="C14" s="211"/>
      <c r="D14" s="460" t="s">
        <v>207</v>
      </c>
      <c r="E14" s="461"/>
      <c r="F14" s="462"/>
      <c r="G14" s="193">
        <v>38068238</v>
      </c>
    </row>
    <row r="15" spans="1:7" ht="36" customHeight="1">
      <c r="A15" s="213"/>
      <c r="B15" s="407" t="s">
        <v>308</v>
      </c>
      <c r="C15" s="196"/>
      <c r="D15" s="463" t="s">
        <v>205</v>
      </c>
      <c r="E15" s="463"/>
      <c r="F15" s="212"/>
      <c r="G15" s="192" t="s">
        <v>305</v>
      </c>
    </row>
    <row r="16" spans="1:8" ht="93" customHeight="1">
      <c r="A16" s="194" t="s">
        <v>307</v>
      </c>
      <c r="B16" s="405" t="s">
        <v>672</v>
      </c>
      <c r="C16" s="405" t="s">
        <v>673</v>
      </c>
      <c r="D16" s="405" t="s">
        <v>148</v>
      </c>
      <c r="E16" s="507" t="s">
        <v>674</v>
      </c>
      <c r="F16" s="507"/>
      <c r="G16" s="405" t="s">
        <v>477</v>
      </c>
      <c r="H16"/>
    </row>
    <row r="17" spans="1:8" ht="45" customHeight="1">
      <c r="A17" s="195"/>
      <c r="B17" s="196" t="s">
        <v>308</v>
      </c>
      <c r="C17" s="407" t="s">
        <v>309</v>
      </c>
      <c r="D17" s="191" t="s">
        <v>310</v>
      </c>
      <c r="E17"/>
      <c r="F17"/>
      <c r="G17"/>
      <c r="H17"/>
    </row>
    <row r="18" spans="1:7" ht="51" customHeight="1">
      <c r="A18" s="2" t="s">
        <v>172</v>
      </c>
      <c r="B18" s="9" t="s">
        <v>210</v>
      </c>
      <c r="C18" s="95">
        <f>E18+G18</f>
        <v>421972</v>
      </c>
      <c r="D18" s="9" t="s">
        <v>43</v>
      </c>
      <c r="E18" s="95">
        <v>0</v>
      </c>
      <c r="F18" s="9" t="s">
        <v>44</v>
      </c>
      <c r="G18" s="95">
        <v>421972</v>
      </c>
    </row>
    <row r="19" spans="1:7" ht="15.75">
      <c r="A19" s="2" t="s">
        <v>9</v>
      </c>
      <c r="B19" s="436" t="s">
        <v>209</v>
      </c>
      <c r="C19" s="436"/>
      <c r="D19" s="436"/>
      <c r="E19" s="436"/>
      <c r="F19" s="436"/>
      <c r="G19" s="436"/>
    </row>
    <row r="20" spans="1:7" ht="21" customHeight="1">
      <c r="A20" s="2"/>
      <c r="B20" s="436" t="s">
        <v>211</v>
      </c>
      <c r="C20" s="436"/>
      <c r="D20" s="436"/>
      <c r="E20" s="436"/>
      <c r="F20" s="436"/>
      <c r="G20" s="436"/>
    </row>
    <row r="21" spans="1:7" ht="15.75" customHeight="1">
      <c r="A21" s="2"/>
      <c r="B21" s="436" t="s">
        <v>213</v>
      </c>
      <c r="C21" s="436"/>
      <c r="D21" s="436"/>
      <c r="E21" s="436"/>
      <c r="F21" s="436"/>
      <c r="G21" s="436"/>
    </row>
    <row r="22" spans="1:7" ht="17.25" customHeight="1">
      <c r="A22" s="2"/>
      <c r="B22" s="436" t="s">
        <v>579</v>
      </c>
      <c r="C22" s="436"/>
      <c r="D22" s="436"/>
      <c r="E22" s="436"/>
      <c r="F22" s="436"/>
      <c r="G22" s="436"/>
    </row>
    <row r="23" spans="1:7" ht="32.25" customHeight="1">
      <c r="A23" s="2"/>
      <c r="B23" s="436" t="s">
        <v>144</v>
      </c>
      <c r="C23" s="436"/>
      <c r="D23" s="436"/>
      <c r="E23" s="436"/>
      <c r="F23" s="436"/>
      <c r="G23" s="436"/>
    </row>
    <row r="24" spans="1:7" ht="21" customHeight="1">
      <c r="A24" s="2"/>
      <c r="B24" s="450" t="s">
        <v>481</v>
      </c>
      <c r="C24" s="450"/>
      <c r="D24" s="450"/>
      <c r="E24" s="450"/>
      <c r="F24" s="450"/>
      <c r="G24" s="450"/>
    </row>
    <row r="25" spans="1:7" ht="31.5" customHeight="1">
      <c r="A25" s="2"/>
      <c r="B25" s="450" t="s">
        <v>592</v>
      </c>
      <c r="C25" s="450"/>
      <c r="D25" s="450"/>
      <c r="E25" s="450"/>
      <c r="F25" s="450"/>
      <c r="G25" s="450"/>
    </row>
    <row r="26" spans="1:7" ht="14.25" customHeight="1">
      <c r="A26" s="2"/>
      <c r="B26" s="9"/>
      <c r="C26" s="9"/>
      <c r="D26" s="9"/>
      <c r="E26" s="9"/>
      <c r="F26" s="9"/>
      <c r="G26" s="9"/>
    </row>
    <row r="27" spans="1:7" ht="24" customHeight="1">
      <c r="A27" s="2" t="s">
        <v>10</v>
      </c>
      <c r="B27" s="436" t="s">
        <v>41</v>
      </c>
      <c r="C27" s="436"/>
      <c r="D27" s="436"/>
      <c r="E27" s="436"/>
      <c r="F27" s="436"/>
      <c r="G27" s="436"/>
    </row>
    <row r="28" spans="1:7" ht="27" customHeight="1">
      <c r="A28" s="6"/>
      <c r="B28" s="496" t="s">
        <v>234</v>
      </c>
      <c r="C28" s="501"/>
      <c r="D28" s="501"/>
      <c r="E28" s="501"/>
      <c r="F28" s="501"/>
      <c r="G28" s="497"/>
    </row>
    <row r="29" spans="1:7" ht="34.5" customHeight="1">
      <c r="A29" s="6" t="s">
        <v>169</v>
      </c>
      <c r="B29" s="445" t="s">
        <v>676</v>
      </c>
      <c r="C29" s="446"/>
      <c r="D29" s="446"/>
      <c r="E29" s="446"/>
      <c r="F29" s="446"/>
      <c r="G29" s="447"/>
    </row>
    <row r="30" spans="1:7" ht="29.25" customHeight="1">
      <c r="A30" s="2" t="s">
        <v>11</v>
      </c>
      <c r="B30" s="436" t="s">
        <v>677</v>
      </c>
      <c r="C30" s="436"/>
      <c r="D30" s="436"/>
      <c r="E30" s="436"/>
      <c r="F30" s="436"/>
      <c r="G30" s="436"/>
    </row>
    <row r="31" spans="1:4" ht="20.25" customHeight="1">
      <c r="A31" s="2" t="s">
        <v>15</v>
      </c>
      <c r="B31" s="443" t="s">
        <v>12</v>
      </c>
      <c r="C31" s="443"/>
      <c r="D31" s="443"/>
    </row>
    <row r="32" ht="15.75">
      <c r="A32" s="3"/>
    </row>
    <row r="33" spans="1:7" ht="15.75">
      <c r="A33" s="6" t="s">
        <v>13</v>
      </c>
      <c r="B33" s="434" t="s">
        <v>14</v>
      </c>
      <c r="C33" s="434"/>
      <c r="D33" s="434"/>
      <c r="E33" s="434"/>
      <c r="F33" s="434"/>
      <c r="G33" s="434"/>
    </row>
    <row r="34" spans="1:7" ht="35.25" customHeight="1">
      <c r="A34" s="6" t="s">
        <v>169</v>
      </c>
      <c r="B34" s="445" t="s">
        <v>678</v>
      </c>
      <c r="C34" s="446"/>
      <c r="D34" s="446"/>
      <c r="E34" s="446"/>
      <c r="F34" s="446"/>
      <c r="G34" s="447"/>
    </row>
    <row r="35" spans="1:7" ht="15.75">
      <c r="A35" s="51"/>
      <c r="B35" s="303"/>
      <c r="C35" s="303"/>
      <c r="D35" s="303"/>
      <c r="E35" s="303"/>
      <c r="F35" s="303"/>
      <c r="G35" s="303"/>
    </row>
    <row r="36" spans="1:7" ht="15.75">
      <c r="A36" s="435" t="s">
        <v>22</v>
      </c>
      <c r="B36" s="436" t="s">
        <v>16</v>
      </c>
      <c r="C36" s="436"/>
      <c r="D36" s="436"/>
      <c r="E36" s="436"/>
      <c r="F36" s="436"/>
      <c r="G36" s="436"/>
    </row>
    <row r="37" spans="1:2" ht="15.75">
      <c r="A37" s="435"/>
      <c r="B37" s="1" t="s">
        <v>17</v>
      </c>
    </row>
    <row r="38" spans="1:6" ht="31.5">
      <c r="A38" s="6" t="s">
        <v>13</v>
      </c>
      <c r="B38" s="6" t="s">
        <v>18</v>
      </c>
      <c r="C38" s="6" t="s">
        <v>19</v>
      </c>
      <c r="D38" s="6" t="s">
        <v>20</v>
      </c>
      <c r="E38" s="6" t="s">
        <v>21</v>
      </c>
      <c r="F38" s="16"/>
    </row>
    <row r="39" spans="1:6" ht="15.75">
      <c r="A39" s="6">
        <v>1</v>
      </c>
      <c r="B39" s="6">
        <v>2</v>
      </c>
      <c r="C39" s="6">
        <v>3</v>
      </c>
      <c r="D39" s="6">
        <v>4</v>
      </c>
      <c r="E39" s="6">
        <v>6</v>
      </c>
      <c r="F39" s="16"/>
    </row>
    <row r="40" spans="1:6" ht="75">
      <c r="A40" s="6" t="s">
        <v>169</v>
      </c>
      <c r="B40" s="12" t="str">
        <f>B34</f>
        <v>Виплата грошової компенсації  для отримання житлового приміщення дітей сиріт,дітей, позбавлених батьківського піклування, осіб з їх числа</v>
      </c>
      <c r="C40" s="13">
        <f>E18</f>
        <v>0</v>
      </c>
      <c r="D40" s="13">
        <v>421972</v>
      </c>
      <c r="E40" s="13">
        <f>C40+D40</f>
        <v>421972</v>
      </c>
      <c r="F40" s="129"/>
    </row>
    <row r="41" spans="1:6" ht="15.75">
      <c r="A41" s="434" t="s">
        <v>21</v>
      </c>
      <c r="B41" s="434"/>
      <c r="C41" s="14">
        <f>SUM(C40:C40)</f>
        <v>0</v>
      </c>
      <c r="D41" s="14">
        <f>SUM(D40:D40)</f>
        <v>421972</v>
      </c>
      <c r="E41" s="14">
        <f>C41+D41</f>
        <v>421972</v>
      </c>
      <c r="F41" s="131"/>
    </row>
    <row r="42" ht="15.75">
      <c r="A42" s="3"/>
    </row>
    <row r="43" ht="15.75">
      <c r="A43" s="3"/>
    </row>
    <row r="44" spans="1:7" ht="15.75">
      <c r="A44" s="435" t="s">
        <v>194</v>
      </c>
      <c r="B44" s="436" t="s">
        <v>23</v>
      </c>
      <c r="C44" s="436"/>
      <c r="D44" s="436"/>
      <c r="E44" s="436"/>
      <c r="F44" s="436"/>
      <c r="G44" s="436"/>
    </row>
    <row r="45" spans="1:2" ht="15.75">
      <c r="A45" s="435"/>
      <c r="B45" s="1" t="s">
        <v>17</v>
      </c>
    </row>
    <row r="46" ht="15.75">
      <c r="A46" s="3"/>
    </row>
    <row r="47" spans="2:5" ht="31.5">
      <c r="B47" s="6" t="s">
        <v>193</v>
      </c>
      <c r="C47" s="6" t="s">
        <v>19</v>
      </c>
      <c r="D47" s="6" t="s">
        <v>20</v>
      </c>
      <c r="E47" s="6" t="s">
        <v>21</v>
      </c>
    </row>
    <row r="48" spans="2:5" ht="15.75">
      <c r="B48" s="6">
        <v>1</v>
      </c>
      <c r="C48" s="6">
        <v>2</v>
      </c>
      <c r="D48" s="6">
        <v>3</v>
      </c>
      <c r="E48" s="6">
        <v>4</v>
      </c>
    </row>
    <row r="49" spans="2:5" ht="135">
      <c r="B49" s="146" t="s">
        <v>635</v>
      </c>
      <c r="C49" s="24">
        <v>0</v>
      </c>
      <c r="D49" s="24">
        <f>D40</f>
        <v>421972</v>
      </c>
      <c r="E49" s="24">
        <f>D49</f>
        <v>421972</v>
      </c>
    </row>
    <row r="50" spans="2:5" ht="15.75">
      <c r="B50" s="17" t="s">
        <v>21</v>
      </c>
      <c r="C50" s="25">
        <f>C49</f>
        <v>0</v>
      </c>
      <c r="D50" s="25">
        <f>D49</f>
        <v>421972</v>
      </c>
      <c r="E50" s="25">
        <f>E49</f>
        <v>421972</v>
      </c>
    </row>
    <row r="51" ht="15.75">
      <c r="A51" s="3"/>
    </row>
    <row r="52" spans="1:7" ht="15.75">
      <c r="A52" s="2" t="s">
        <v>47</v>
      </c>
      <c r="B52" s="436" t="s">
        <v>195</v>
      </c>
      <c r="C52" s="436"/>
      <c r="D52" s="436"/>
      <c r="E52" s="436"/>
      <c r="F52" s="436"/>
      <c r="G52" s="436"/>
    </row>
    <row r="53" ht="15.75">
      <c r="A53" s="3"/>
    </row>
    <row r="54" spans="1:7" ht="46.5" customHeight="1">
      <c r="A54" s="6" t="s">
        <v>13</v>
      </c>
      <c r="B54" s="6" t="s">
        <v>196</v>
      </c>
      <c r="C54" s="6" t="s">
        <v>197</v>
      </c>
      <c r="D54" s="6" t="s">
        <v>198</v>
      </c>
      <c r="E54" s="6" t="s">
        <v>19</v>
      </c>
      <c r="F54" s="6" t="s">
        <v>20</v>
      </c>
      <c r="G54" s="6" t="s">
        <v>21</v>
      </c>
    </row>
    <row r="55" spans="1:7" ht="15.75">
      <c r="A55" s="6">
        <v>1</v>
      </c>
      <c r="B55" s="6">
        <v>2</v>
      </c>
      <c r="C55" s="6">
        <v>3</v>
      </c>
      <c r="D55" s="6">
        <v>4</v>
      </c>
      <c r="E55" s="6">
        <v>5</v>
      </c>
      <c r="F55" s="6">
        <v>6</v>
      </c>
      <c r="G55" s="6">
        <v>7</v>
      </c>
    </row>
    <row r="56" spans="1:7" ht="36" customHeight="1">
      <c r="A56" s="6" t="s">
        <v>169</v>
      </c>
      <c r="B56" s="496" t="s">
        <v>679</v>
      </c>
      <c r="C56" s="505"/>
      <c r="D56" s="505"/>
      <c r="E56" s="505"/>
      <c r="F56" s="505"/>
      <c r="G56" s="506"/>
    </row>
    <row r="57" spans="1:7" ht="15.75">
      <c r="A57" s="6"/>
      <c r="B57" s="17" t="s">
        <v>189</v>
      </c>
      <c r="C57" s="6"/>
      <c r="D57" s="6"/>
      <c r="E57" s="6"/>
      <c r="F57" s="6"/>
      <c r="G57" s="6"/>
    </row>
    <row r="58" spans="1:7" ht="18.75" customHeight="1">
      <c r="A58" s="6"/>
      <c r="B58" s="44" t="s">
        <v>57</v>
      </c>
      <c r="C58" s="6" t="s">
        <v>154</v>
      </c>
      <c r="D58" s="6" t="s">
        <v>61</v>
      </c>
      <c r="E58" s="36" t="s">
        <v>109</v>
      </c>
      <c r="F58" s="47">
        <v>421972</v>
      </c>
      <c r="G58" s="22">
        <f>F58</f>
        <v>421972</v>
      </c>
    </row>
    <row r="59" spans="1:7" ht="15.75">
      <c r="A59" s="6"/>
      <c r="B59" s="17" t="s">
        <v>200</v>
      </c>
      <c r="C59" s="6"/>
      <c r="D59" s="6"/>
      <c r="E59" s="36"/>
      <c r="F59" s="6"/>
      <c r="G59" s="22"/>
    </row>
    <row r="60" spans="1:7" ht="34.5" customHeight="1">
      <c r="A60" s="6"/>
      <c r="B60" s="7" t="s">
        <v>149</v>
      </c>
      <c r="C60" s="6" t="s">
        <v>66</v>
      </c>
      <c r="D60" s="39" t="s">
        <v>70</v>
      </c>
      <c r="E60" s="36" t="s">
        <v>109</v>
      </c>
      <c r="F60" s="41">
        <v>1</v>
      </c>
      <c r="G60" s="22">
        <f>F60</f>
        <v>1</v>
      </c>
    </row>
    <row r="61" spans="1:7" ht="16.5" customHeight="1">
      <c r="A61" s="6"/>
      <c r="B61" s="17" t="s">
        <v>201</v>
      </c>
      <c r="C61" s="6"/>
      <c r="D61" s="39"/>
      <c r="E61" s="36"/>
      <c r="F61" s="29"/>
      <c r="G61" s="22"/>
    </row>
    <row r="62" spans="1:7" ht="36" customHeight="1">
      <c r="A62" s="6"/>
      <c r="B62" s="7" t="s">
        <v>150</v>
      </c>
      <c r="C62" s="6" t="s">
        <v>79</v>
      </c>
      <c r="D62" s="39" t="s">
        <v>70</v>
      </c>
      <c r="E62" s="36" t="s">
        <v>109</v>
      </c>
      <c r="F62" s="39">
        <f>F58/F60</f>
        <v>421972</v>
      </c>
      <c r="G62" s="22">
        <f>F62</f>
        <v>421972</v>
      </c>
    </row>
    <row r="63" spans="1:7" ht="15.75">
      <c r="A63" s="6"/>
      <c r="B63" s="17" t="s">
        <v>202</v>
      </c>
      <c r="C63" s="6"/>
      <c r="D63" s="39"/>
      <c r="E63" s="36"/>
      <c r="F63" s="39"/>
      <c r="G63" s="22"/>
    </row>
    <row r="64" spans="1:7" ht="47.25">
      <c r="A64" s="6"/>
      <c r="B64" s="143" t="s">
        <v>38</v>
      </c>
      <c r="C64" s="36" t="s">
        <v>71</v>
      </c>
      <c r="D64" s="40" t="s">
        <v>70</v>
      </c>
      <c r="E64" s="36" t="s">
        <v>109</v>
      </c>
      <c r="F64" s="39">
        <v>100</v>
      </c>
      <c r="G64" s="22">
        <v>100</v>
      </c>
    </row>
    <row r="65" spans="1:7" ht="51" customHeight="1" hidden="1">
      <c r="A65" s="6"/>
      <c r="B65" s="7" t="s">
        <v>151</v>
      </c>
      <c r="C65" s="6" t="s">
        <v>71</v>
      </c>
      <c r="D65" s="39" t="s">
        <v>70</v>
      </c>
      <c r="E65" s="36" t="s">
        <v>109</v>
      </c>
      <c r="F65" s="39">
        <f>(F60/10)*100</f>
        <v>10</v>
      </c>
      <c r="G65" s="22">
        <f>F65</f>
        <v>10</v>
      </c>
    </row>
    <row r="66" spans="1:7" ht="48.75" customHeight="1" hidden="1">
      <c r="A66" s="7"/>
      <c r="B66" s="7" t="s">
        <v>152</v>
      </c>
      <c r="C66" s="6" t="s">
        <v>71</v>
      </c>
      <c r="D66" s="6" t="s">
        <v>70</v>
      </c>
      <c r="E66" s="36" t="s">
        <v>109</v>
      </c>
      <c r="F66" s="106" t="e">
        <f>(#REF!/290)*100</f>
        <v>#REF!</v>
      </c>
      <c r="G66" s="22" t="e">
        <f>F66</f>
        <v>#REF!</v>
      </c>
    </row>
    <row r="67" ht="15.75">
      <c r="A67" s="3"/>
    </row>
    <row r="68" spans="1:7" ht="15.75">
      <c r="A68" s="3" t="s">
        <v>73</v>
      </c>
      <c r="B68" s="3"/>
      <c r="C68" s="3"/>
      <c r="D68" s="8"/>
      <c r="E68" s="75"/>
      <c r="F68" s="430" t="s">
        <v>74</v>
      </c>
      <c r="G68" s="430"/>
    </row>
    <row r="69" spans="1:7" ht="15">
      <c r="A69" s="85"/>
      <c r="B69" s="85"/>
      <c r="C69" s="85"/>
      <c r="D69" s="5" t="s">
        <v>203</v>
      </c>
      <c r="E69" s="86"/>
      <c r="F69" s="472" t="s">
        <v>75</v>
      </c>
      <c r="G69" s="473"/>
    </row>
    <row r="70" spans="1:7" ht="15.75">
      <c r="A70" s="474"/>
      <c r="B70" s="474"/>
      <c r="C70" s="85"/>
      <c r="D70" s="2"/>
      <c r="E70" s="85"/>
      <c r="F70" s="85"/>
      <c r="G70" s="85"/>
    </row>
    <row r="71" spans="1:7" ht="15.75">
      <c r="A71" s="433" t="s">
        <v>204</v>
      </c>
      <c r="B71" s="433"/>
      <c r="C71" s="85"/>
      <c r="E71" s="85"/>
      <c r="F71" s="85"/>
      <c r="G71" s="85"/>
    </row>
    <row r="72" spans="1:7" ht="15.75" customHeight="1">
      <c r="A72" s="3" t="s">
        <v>281</v>
      </c>
      <c r="B72" s="3"/>
      <c r="C72" s="3"/>
      <c r="D72" s="8"/>
      <c r="E72" s="75"/>
      <c r="F72" s="430" t="s">
        <v>76</v>
      </c>
      <c r="G72" s="430"/>
    </row>
    <row r="73" spans="1:7" ht="15.75">
      <c r="A73" s="3" t="s">
        <v>286</v>
      </c>
      <c r="B73" s="3"/>
      <c r="C73" s="85"/>
      <c r="D73" s="5" t="s">
        <v>203</v>
      </c>
      <c r="E73" s="5"/>
      <c r="F73" s="431" t="s">
        <v>75</v>
      </c>
      <c r="G73" s="432"/>
    </row>
    <row r="74" spans="1:7" ht="15.75">
      <c r="A74" s="3"/>
      <c r="B74" s="3"/>
      <c r="C74" s="85"/>
      <c r="D74" s="5"/>
      <c r="E74" s="5"/>
      <c r="F74" s="97"/>
      <c r="G74" s="408"/>
    </row>
    <row r="75" spans="1:7" ht="15.75">
      <c r="A75" s="3"/>
      <c r="B75" s="101"/>
      <c r="C75" s="85"/>
      <c r="D75" s="5"/>
      <c r="E75" s="5"/>
      <c r="F75" s="97"/>
      <c r="G75" s="408"/>
    </row>
    <row r="76" spans="1:7" ht="15.75">
      <c r="A76" s="1"/>
      <c r="B76" s="92" t="s">
        <v>162</v>
      </c>
      <c r="C76" s="2"/>
      <c r="F76" s="475"/>
      <c r="G76" s="475"/>
    </row>
    <row r="77" ht="15">
      <c r="B77" s="23" t="s">
        <v>163</v>
      </c>
    </row>
  </sheetData>
  <sheetProtection/>
  <mergeCells count="40">
    <mergeCell ref="F69:G69"/>
    <mergeCell ref="A70:B70"/>
    <mergeCell ref="A71:B71"/>
    <mergeCell ref="F72:G72"/>
    <mergeCell ref="F73:G73"/>
    <mergeCell ref="F76:G76"/>
    <mergeCell ref="A41:B41"/>
    <mergeCell ref="A44:A45"/>
    <mergeCell ref="B44:G44"/>
    <mergeCell ref="B52:G52"/>
    <mergeCell ref="B56:G56"/>
    <mergeCell ref="F68:G68"/>
    <mergeCell ref="B31:D31"/>
    <mergeCell ref="B33:G33"/>
    <mergeCell ref="B34:G34"/>
    <mergeCell ref="A36:A37"/>
    <mergeCell ref="B36:G36"/>
    <mergeCell ref="B24:G24"/>
    <mergeCell ref="B25:G25"/>
    <mergeCell ref="B27:G27"/>
    <mergeCell ref="B28:G28"/>
    <mergeCell ref="B29:G29"/>
    <mergeCell ref="B30:G30"/>
    <mergeCell ref="B19:G19"/>
    <mergeCell ref="B20:G20"/>
    <mergeCell ref="B21:G21"/>
    <mergeCell ref="B22:G22"/>
    <mergeCell ref="B23:G23"/>
    <mergeCell ref="A10:G10"/>
    <mergeCell ref="D12:F12"/>
    <mergeCell ref="D13:E13"/>
    <mergeCell ref="D14:F14"/>
    <mergeCell ref="D15:E15"/>
    <mergeCell ref="E16:F16"/>
    <mergeCell ref="E1:G1"/>
    <mergeCell ref="E4:G4"/>
    <mergeCell ref="E5:G5"/>
    <mergeCell ref="E6:G6"/>
    <mergeCell ref="E7:G7"/>
    <mergeCell ref="A9:G9"/>
  </mergeCells>
  <printOptions horizontalCentered="1" verticalCentered="1"/>
  <pageMargins left="0.1968503937007874" right="0.15748031496062992" top="1.1811023622047245" bottom="0.2755905511811024" header="0.31496062992125984" footer="0.31496062992125984"/>
  <pageSetup fitToHeight="3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134"/>
  <sheetViews>
    <sheetView zoomScalePageLayoutView="0" workbookViewId="0" topLeftCell="A98">
      <selection activeCell="E108" sqref="E108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16384" width="21.57421875" style="4" customWidth="1"/>
  </cols>
  <sheetData>
    <row r="1" spans="5:7" ht="77.25" customHeight="1">
      <c r="E1" s="484" t="s">
        <v>285</v>
      </c>
      <c r="F1" s="471"/>
      <c r="G1" s="471"/>
    </row>
    <row r="2" spans="1:5" ht="15.75">
      <c r="A2" s="1"/>
      <c r="E2" s="1"/>
    </row>
    <row r="3" spans="1:5" ht="15.75">
      <c r="A3" s="1"/>
      <c r="E3" s="1" t="s">
        <v>166</v>
      </c>
    </row>
    <row r="4" spans="1:7" ht="15.75" customHeight="1">
      <c r="A4" s="1"/>
      <c r="E4" s="468" t="s">
        <v>216</v>
      </c>
      <c r="F4" s="468"/>
      <c r="G4" s="468"/>
    </row>
    <row r="5" spans="1:7" ht="15.75">
      <c r="A5" s="1"/>
      <c r="B5" s="1"/>
      <c r="E5" s="469" t="s">
        <v>207</v>
      </c>
      <c r="F5" s="469"/>
      <c r="G5" s="469"/>
    </row>
    <row r="6" spans="1:7" ht="15" customHeight="1">
      <c r="A6" s="1"/>
      <c r="E6" s="470" t="s">
        <v>167</v>
      </c>
      <c r="F6" s="470"/>
      <c r="G6" s="470"/>
    </row>
    <row r="7" spans="5:7" ht="15">
      <c r="E7" s="443" t="s">
        <v>94</v>
      </c>
      <c r="F7" s="471"/>
      <c r="G7" s="471"/>
    </row>
    <row r="9" spans="1:7" ht="15.75">
      <c r="A9" s="455" t="s">
        <v>168</v>
      </c>
      <c r="B9" s="455"/>
      <c r="C9" s="455"/>
      <c r="D9" s="455"/>
      <c r="E9" s="455"/>
      <c r="F9" s="455"/>
      <c r="G9" s="455"/>
    </row>
    <row r="10" spans="1:7" ht="15.75">
      <c r="A10" s="455" t="s">
        <v>315</v>
      </c>
      <c r="B10" s="455"/>
      <c r="C10" s="455"/>
      <c r="D10" s="455"/>
      <c r="E10" s="455"/>
      <c r="F10" s="455"/>
      <c r="G10" s="455"/>
    </row>
    <row r="11" spans="1:7" ht="15.75">
      <c r="A11" s="156"/>
      <c r="B11" s="156"/>
      <c r="C11" s="156"/>
      <c r="D11" s="156"/>
      <c r="E11" s="156"/>
      <c r="F11" s="156"/>
      <c r="G11" s="156"/>
    </row>
    <row r="12" spans="1:7" ht="15" customHeight="1">
      <c r="A12" s="214" t="s">
        <v>304</v>
      </c>
      <c r="B12" s="405" t="s">
        <v>478</v>
      </c>
      <c r="C12" s="210"/>
      <c r="D12" s="456" t="s">
        <v>207</v>
      </c>
      <c r="E12" s="457"/>
      <c r="F12" s="458"/>
      <c r="G12" s="190">
        <v>38068238</v>
      </c>
    </row>
    <row r="13" spans="2:7" ht="30.75" customHeight="1">
      <c r="B13" s="407" t="s">
        <v>308</v>
      </c>
      <c r="C13" s="196"/>
      <c r="D13" s="459" t="s">
        <v>167</v>
      </c>
      <c r="E13" s="459"/>
      <c r="F13" s="212"/>
      <c r="G13" s="192" t="s">
        <v>305</v>
      </c>
    </row>
    <row r="14" spans="1:7" ht="15" customHeight="1">
      <c r="A14" s="213" t="s">
        <v>306</v>
      </c>
      <c r="B14" s="405" t="s">
        <v>479</v>
      </c>
      <c r="C14" s="211"/>
      <c r="D14" s="460" t="s">
        <v>207</v>
      </c>
      <c r="E14" s="461"/>
      <c r="F14" s="462"/>
      <c r="G14" s="193">
        <v>38068238</v>
      </c>
    </row>
    <row r="15" spans="1:7" ht="39" customHeight="1">
      <c r="A15" s="213"/>
      <c r="B15" s="407" t="s">
        <v>308</v>
      </c>
      <c r="C15" s="196"/>
      <c r="D15" s="463" t="s">
        <v>205</v>
      </c>
      <c r="E15" s="463"/>
      <c r="F15" s="212"/>
      <c r="G15" s="192" t="s">
        <v>305</v>
      </c>
    </row>
    <row r="16" spans="1:7" ht="33" customHeight="1">
      <c r="A16" s="194" t="s">
        <v>307</v>
      </c>
      <c r="B16" s="405" t="s">
        <v>342</v>
      </c>
      <c r="C16" s="405" t="s">
        <v>343</v>
      </c>
      <c r="D16" s="405" t="s">
        <v>25</v>
      </c>
      <c r="E16" s="464" t="s">
        <v>344</v>
      </c>
      <c r="F16" s="465"/>
      <c r="G16" s="405" t="s">
        <v>477</v>
      </c>
    </row>
    <row r="17" spans="1:7" ht="45" customHeight="1">
      <c r="A17" s="195"/>
      <c r="B17" s="196" t="s">
        <v>308</v>
      </c>
      <c r="C17" s="407" t="s">
        <v>309</v>
      </c>
      <c r="D17" s="191" t="s">
        <v>310</v>
      </c>
      <c r="E17" s="454" t="s">
        <v>311</v>
      </c>
      <c r="F17" s="454"/>
      <c r="G17" s="407" t="s">
        <v>312</v>
      </c>
    </row>
    <row r="18" spans="1:7" ht="51" customHeight="1">
      <c r="A18" s="2" t="s">
        <v>172</v>
      </c>
      <c r="B18" s="9" t="s">
        <v>210</v>
      </c>
      <c r="C18" s="95">
        <f>E18+G18</f>
        <v>0</v>
      </c>
      <c r="D18" s="9" t="s">
        <v>43</v>
      </c>
      <c r="E18" s="95">
        <f>737313-222441-157654-277218-80000</f>
        <v>0</v>
      </c>
      <c r="F18" s="9" t="s">
        <v>44</v>
      </c>
      <c r="G18" s="95">
        <v>0</v>
      </c>
    </row>
    <row r="19" spans="1:7" ht="15.75">
      <c r="A19" s="2" t="s">
        <v>9</v>
      </c>
      <c r="B19" s="436" t="s">
        <v>209</v>
      </c>
      <c r="C19" s="436"/>
      <c r="D19" s="436"/>
      <c r="E19" s="436"/>
      <c r="F19" s="436"/>
      <c r="G19" s="436"/>
    </row>
    <row r="20" spans="1:7" ht="15.75" customHeight="1">
      <c r="A20" s="2"/>
      <c r="B20" s="436" t="s">
        <v>211</v>
      </c>
      <c r="C20" s="436"/>
      <c r="D20" s="436"/>
      <c r="E20" s="436"/>
      <c r="F20" s="436"/>
      <c r="G20" s="436"/>
    </row>
    <row r="21" spans="1:7" ht="15.75" customHeight="1">
      <c r="A21" s="2"/>
      <c r="B21" s="436" t="s">
        <v>215</v>
      </c>
      <c r="C21" s="436"/>
      <c r="D21" s="436"/>
      <c r="E21" s="436"/>
      <c r="F21" s="436"/>
      <c r="G21" s="436"/>
    </row>
    <row r="22" spans="1:7" ht="18" customHeight="1">
      <c r="A22" s="2"/>
      <c r="B22" s="436" t="s">
        <v>585</v>
      </c>
      <c r="C22" s="436"/>
      <c r="D22" s="436"/>
      <c r="E22" s="436"/>
      <c r="F22" s="436"/>
      <c r="G22" s="436"/>
    </row>
    <row r="23" spans="1:7" ht="21" customHeight="1">
      <c r="A23" s="2"/>
      <c r="B23" s="436" t="s">
        <v>217</v>
      </c>
      <c r="C23" s="436"/>
      <c r="D23" s="436"/>
      <c r="E23" s="436"/>
      <c r="F23" s="436"/>
      <c r="G23" s="436"/>
    </row>
    <row r="24" spans="1:7" ht="31.5" customHeight="1">
      <c r="A24" s="2"/>
      <c r="B24" s="436" t="s">
        <v>144</v>
      </c>
      <c r="C24" s="436"/>
      <c r="D24" s="436"/>
      <c r="E24" s="436"/>
      <c r="F24" s="436"/>
      <c r="G24" s="436"/>
    </row>
    <row r="25" spans="1:7" ht="27" customHeight="1">
      <c r="A25" s="2"/>
      <c r="B25" s="450" t="s">
        <v>623</v>
      </c>
      <c r="C25" s="450"/>
      <c r="D25" s="450"/>
      <c r="E25" s="450"/>
      <c r="F25" s="450"/>
      <c r="G25" s="450"/>
    </row>
    <row r="26" spans="1:7" ht="31.5" customHeight="1">
      <c r="A26" s="2"/>
      <c r="B26" s="450" t="s">
        <v>616</v>
      </c>
      <c r="C26" s="450"/>
      <c r="D26" s="450"/>
      <c r="E26" s="450"/>
      <c r="F26" s="450"/>
      <c r="G26" s="450"/>
    </row>
    <row r="27" spans="1:7" ht="21.75" customHeight="1">
      <c r="A27" s="2"/>
      <c r="B27" s="9"/>
      <c r="C27" s="9"/>
      <c r="D27" s="9"/>
      <c r="E27" s="9"/>
      <c r="F27" s="9"/>
      <c r="G27" s="9"/>
    </row>
    <row r="28" spans="1:7" ht="24.75" customHeight="1">
      <c r="A28" s="2" t="s">
        <v>10</v>
      </c>
      <c r="B28" s="436" t="s">
        <v>41</v>
      </c>
      <c r="C28" s="436"/>
      <c r="D28" s="436"/>
      <c r="E28" s="436"/>
      <c r="F28" s="436"/>
      <c r="G28" s="436"/>
    </row>
    <row r="29" spans="1:7" ht="28.5" customHeight="1">
      <c r="A29" s="6"/>
      <c r="B29" s="451" t="s">
        <v>234</v>
      </c>
      <c r="C29" s="452"/>
      <c r="D29" s="452"/>
      <c r="E29" s="452"/>
      <c r="F29" s="452"/>
      <c r="G29" s="453"/>
    </row>
    <row r="30" spans="1:7" ht="51" customHeight="1">
      <c r="A30" s="6" t="s">
        <v>169</v>
      </c>
      <c r="B30" s="445" t="s">
        <v>345</v>
      </c>
      <c r="C30" s="446"/>
      <c r="D30" s="446"/>
      <c r="E30" s="446"/>
      <c r="F30" s="446"/>
      <c r="G30" s="447"/>
    </row>
    <row r="31" spans="1:7" ht="16.5" customHeight="1">
      <c r="A31" s="16"/>
      <c r="B31" s="50"/>
      <c r="C31" s="50"/>
      <c r="D31" s="50"/>
      <c r="E31" s="50"/>
      <c r="F31" s="50"/>
      <c r="G31" s="50"/>
    </row>
    <row r="32" spans="1:7" ht="44.25" customHeight="1">
      <c r="A32" s="2" t="s">
        <v>11</v>
      </c>
      <c r="B32" s="450" t="s">
        <v>347</v>
      </c>
      <c r="C32" s="450"/>
      <c r="D32" s="450"/>
      <c r="E32" s="450"/>
      <c r="F32" s="450"/>
      <c r="G32" s="450"/>
    </row>
    <row r="33" spans="1:4" ht="31.5" customHeight="1">
      <c r="A33" s="2" t="s">
        <v>15</v>
      </c>
      <c r="B33" s="443" t="s">
        <v>12</v>
      </c>
      <c r="C33" s="443"/>
      <c r="D33" s="443"/>
    </row>
    <row r="34" ht="15.75">
      <c r="A34" s="3"/>
    </row>
    <row r="35" spans="1:7" ht="15.75">
      <c r="A35" s="6" t="s">
        <v>13</v>
      </c>
      <c r="B35" s="444" t="s">
        <v>14</v>
      </c>
      <c r="C35" s="444"/>
      <c r="D35" s="444"/>
      <c r="E35" s="444"/>
      <c r="F35" s="444"/>
      <c r="G35" s="444"/>
    </row>
    <row r="36" spans="1:7" ht="15.75" customHeight="1" hidden="1">
      <c r="A36" s="6" t="s">
        <v>169</v>
      </c>
      <c r="B36" s="445" t="s">
        <v>26</v>
      </c>
      <c r="C36" s="446" t="s">
        <v>26</v>
      </c>
      <c r="D36" s="446" t="s">
        <v>26</v>
      </c>
      <c r="E36" s="446" t="s">
        <v>26</v>
      </c>
      <c r="F36" s="446" t="s">
        <v>26</v>
      </c>
      <c r="G36" s="447" t="s">
        <v>26</v>
      </c>
    </row>
    <row r="37" spans="1:7" ht="15.75" customHeight="1">
      <c r="A37" s="6" t="s">
        <v>170</v>
      </c>
      <c r="B37" s="445" t="s">
        <v>649</v>
      </c>
      <c r="C37" s="446"/>
      <c r="D37" s="446"/>
      <c r="E37" s="446"/>
      <c r="F37" s="446"/>
      <c r="G37" s="447"/>
    </row>
    <row r="38" spans="1:7" ht="15.75" customHeight="1">
      <c r="A38" s="6" t="s">
        <v>171</v>
      </c>
      <c r="B38" s="445" t="s">
        <v>650</v>
      </c>
      <c r="C38" s="446"/>
      <c r="D38" s="446"/>
      <c r="E38" s="446"/>
      <c r="F38" s="446"/>
      <c r="G38" s="447"/>
    </row>
    <row r="39" spans="1:7" ht="15.75" customHeight="1">
      <c r="A39" s="6" t="s">
        <v>172</v>
      </c>
      <c r="B39" s="445" t="s">
        <v>651</v>
      </c>
      <c r="C39" s="446"/>
      <c r="D39" s="446"/>
      <c r="E39" s="446"/>
      <c r="F39" s="446"/>
      <c r="G39" s="447"/>
    </row>
    <row r="40" spans="1:7" ht="15.75" customHeight="1" hidden="1">
      <c r="A40" s="6" t="s">
        <v>9</v>
      </c>
      <c r="B40" s="502" t="s">
        <v>346</v>
      </c>
      <c r="C40" s="503"/>
      <c r="D40" s="503"/>
      <c r="E40" s="503"/>
      <c r="F40" s="503"/>
      <c r="G40" s="503"/>
    </row>
    <row r="41" spans="1:7" s="32" customFormat="1" ht="15.75" customHeight="1">
      <c r="A41" s="51"/>
      <c r="B41" s="50"/>
      <c r="C41" s="50"/>
      <c r="D41" s="50"/>
      <c r="E41" s="50"/>
      <c r="F41" s="50"/>
      <c r="G41" s="50"/>
    </row>
    <row r="42" spans="1:7" ht="15.75" customHeight="1">
      <c r="A42" s="508" t="s">
        <v>22</v>
      </c>
      <c r="B42" s="509" t="s">
        <v>16</v>
      </c>
      <c r="C42" s="509"/>
      <c r="D42" s="509"/>
      <c r="E42" s="509"/>
      <c r="F42" s="509"/>
      <c r="G42" s="509"/>
    </row>
    <row r="43" ht="15">
      <c r="A43" s="508"/>
    </row>
    <row r="44" spans="1:5" ht="15.75">
      <c r="A44" s="3"/>
      <c r="E44" s="96" t="s">
        <v>17</v>
      </c>
    </row>
    <row r="45" spans="1:5" ht="31.5">
      <c r="A45" s="6" t="s">
        <v>13</v>
      </c>
      <c r="B45" s="6" t="s">
        <v>18</v>
      </c>
      <c r="C45" s="6" t="s">
        <v>19</v>
      </c>
      <c r="D45" s="6" t="s">
        <v>20</v>
      </c>
      <c r="E45" s="6" t="s">
        <v>21</v>
      </c>
    </row>
    <row r="46" spans="1:5" ht="15.75">
      <c r="A46" s="6">
        <v>1</v>
      </c>
      <c r="B46" s="6">
        <v>2</v>
      </c>
      <c r="C46" s="6">
        <v>3</v>
      </c>
      <c r="D46" s="6">
        <v>4</v>
      </c>
      <c r="E46" s="6">
        <v>6</v>
      </c>
    </row>
    <row r="47" spans="1:5" ht="45" hidden="1">
      <c r="A47" s="133" t="s">
        <v>169</v>
      </c>
      <c r="B47" s="146" t="s">
        <v>264</v>
      </c>
      <c r="C47" s="134">
        <f>300000-157654-142346</f>
        <v>0</v>
      </c>
      <c r="D47" s="134">
        <v>0</v>
      </c>
      <c r="E47" s="134">
        <f>C47+D47</f>
        <v>0</v>
      </c>
    </row>
    <row r="48" spans="1:5" ht="60">
      <c r="A48" s="6">
        <v>1</v>
      </c>
      <c r="B48" s="31" t="s">
        <v>265</v>
      </c>
      <c r="C48" s="13">
        <v>0</v>
      </c>
      <c r="D48" s="13">
        <f>G18</f>
        <v>0</v>
      </c>
      <c r="E48" s="13">
        <f>C48+D48</f>
        <v>0</v>
      </c>
    </row>
    <row r="49" spans="1:5" ht="45">
      <c r="A49" s="6">
        <v>2</v>
      </c>
      <c r="B49" s="31" t="s">
        <v>348</v>
      </c>
      <c r="C49" s="13">
        <v>0</v>
      </c>
      <c r="D49" s="13">
        <v>0</v>
      </c>
      <c r="E49" s="13">
        <f>C49+D49</f>
        <v>0</v>
      </c>
    </row>
    <row r="50" spans="1:5" ht="48.75" customHeight="1">
      <c r="A50" s="6">
        <v>3</v>
      </c>
      <c r="B50" s="31" t="s">
        <v>145</v>
      </c>
      <c r="C50" s="13">
        <v>0</v>
      </c>
      <c r="D50" s="13">
        <v>0</v>
      </c>
      <c r="E50" s="13">
        <f>C50+D50</f>
        <v>0</v>
      </c>
    </row>
    <row r="51" spans="1:5" ht="52.5" customHeight="1" hidden="1">
      <c r="A51" s="133" t="s">
        <v>9</v>
      </c>
      <c r="B51" s="146" t="s">
        <v>349</v>
      </c>
      <c r="C51" s="134">
        <f>357313-222441-134872</f>
        <v>0</v>
      </c>
      <c r="D51" s="134">
        <v>0</v>
      </c>
      <c r="E51" s="134">
        <f>C51+D51</f>
        <v>0</v>
      </c>
    </row>
    <row r="52" spans="1:5" ht="15.75">
      <c r="A52" s="434" t="s">
        <v>21</v>
      </c>
      <c r="B52" s="434"/>
      <c r="C52" s="14">
        <f>SUM(C47:C51)</f>
        <v>0</v>
      </c>
      <c r="D52" s="14">
        <f>SUM(D47:D50)</f>
        <v>0</v>
      </c>
      <c r="E52" s="14">
        <f>SUM(E47:E51)</f>
        <v>0</v>
      </c>
    </row>
    <row r="53" ht="15.75">
      <c r="A53" s="3"/>
    </row>
    <row r="54" ht="15.75">
      <c r="A54" s="3"/>
    </row>
    <row r="55" spans="1:7" ht="15.75">
      <c r="A55" s="435" t="s">
        <v>194</v>
      </c>
      <c r="B55" s="436" t="s">
        <v>23</v>
      </c>
      <c r="C55" s="436"/>
      <c r="D55" s="436"/>
      <c r="E55" s="436"/>
      <c r="F55" s="436"/>
      <c r="G55" s="436"/>
    </row>
    <row r="56" spans="1:2" ht="15.75">
      <c r="A56" s="435"/>
      <c r="B56" s="1" t="s">
        <v>17</v>
      </c>
    </row>
    <row r="57" ht="15.75">
      <c r="A57" s="3"/>
    </row>
    <row r="58" spans="2:5" ht="31.5">
      <c r="B58" s="6" t="s">
        <v>193</v>
      </c>
      <c r="C58" s="6" t="s">
        <v>19</v>
      </c>
      <c r="D58" s="6" t="s">
        <v>20</v>
      </c>
      <c r="E58" s="6" t="s">
        <v>21</v>
      </c>
    </row>
    <row r="59" spans="2:5" ht="15.75">
      <c r="B59" s="6">
        <v>1</v>
      </c>
      <c r="C59" s="6">
        <v>2</v>
      </c>
      <c r="D59" s="6">
        <v>3</v>
      </c>
      <c r="E59" s="6">
        <v>4</v>
      </c>
    </row>
    <row r="60" spans="2:5" ht="105">
      <c r="B60" s="146" t="s">
        <v>624</v>
      </c>
      <c r="C60" s="24">
        <f>E18</f>
        <v>0</v>
      </c>
      <c r="D60" s="24">
        <f>G18</f>
        <v>0</v>
      </c>
      <c r="E60" s="24">
        <f>C60+D60</f>
        <v>0</v>
      </c>
    </row>
    <row r="61" spans="2:5" ht="15.75">
      <c r="B61" s="17" t="s">
        <v>21</v>
      </c>
      <c r="C61" s="25">
        <f>C60</f>
        <v>0</v>
      </c>
      <c r="D61" s="25">
        <f>D60</f>
        <v>0</v>
      </c>
      <c r="E61" s="25">
        <f>E60</f>
        <v>0</v>
      </c>
    </row>
    <row r="62" ht="15.75">
      <c r="A62" s="3"/>
    </row>
    <row r="63" ht="15.75">
      <c r="A63" s="3"/>
    </row>
    <row r="64" spans="1:7" ht="15.75">
      <c r="A64" s="2" t="s">
        <v>47</v>
      </c>
      <c r="B64" s="436" t="s">
        <v>195</v>
      </c>
      <c r="C64" s="436"/>
      <c r="D64" s="436"/>
      <c r="E64" s="436"/>
      <c r="F64" s="436"/>
      <c r="G64" s="436"/>
    </row>
    <row r="65" ht="15.75">
      <c r="A65" s="3"/>
    </row>
    <row r="66" spans="1:7" ht="46.5" customHeight="1">
      <c r="A66" s="6" t="s">
        <v>13</v>
      </c>
      <c r="B66" s="6" t="s">
        <v>196</v>
      </c>
      <c r="C66" s="6" t="s">
        <v>197</v>
      </c>
      <c r="D66" s="6" t="s">
        <v>198</v>
      </c>
      <c r="E66" s="6" t="s">
        <v>19</v>
      </c>
      <c r="F66" s="6" t="s">
        <v>20</v>
      </c>
      <c r="G66" s="6" t="s">
        <v>21</v>
      </c>
    </row>
    <row r="67" spans="1:7" ht="15.75">
      <c r="A67" s="6">
        <v>1</v>
      </c>
      <c r="B67" s="6">
        <v>2</v>
      </c>
      <c r="C67" s="6">
        <v>3</v>
      </c>
      <c r="D67" s="6">
        <v>4</v>
      </c>
      <c r="E67" s="6">
        <v>5</v>
      </c>
      <c r="F67" s="6">
        <v>6</v>
      </c>
      <c r="G67" s="6">
        <v>7</v>
      </c>
    </row>
    <row r="68" spans="1:7" ht="15.75" customHeight="1" hidden="1">
      <c r="A68" s="6" t="s">
        <v>169</v>
      </c>
      <c r="B68" s="490" t="s">
        <v>26</v>
      </c>
      <c r="C68" s="491"/>
      <c r="D68" s="491"/>
      <c r="E68" s="491"/>
      <c r="F68" s="491"/>
      <c r="G68" s="492"/>
    </row>
    <row r="69" spans="1:8" ht="18.75" customHeight="1" hidden="1">
      <c r="A69" s="6"/>
      <c r="B69" s="52" t="s">
        <v>199</v>
      </c>
      <c r="C69" s="6" t="s">
        <v>28</v>
      </c>
      <c r="D69" s="6" t="s">
        <v>28</v>
      </c>
      <c r="E69" s="28"/>
      <c r="F69" s="47"/>
      <c r="G69" s="45"/>
      <c r="H69" s="89"/>
    </row>
    <row r="70" spans="1:7" ht="15.75" hidden="1">
      <c r="A70" s="6"/>
      <c r="B70" s="7" t="s">
        <v>48</v>
      </c>
      <c r="C70" s="36" t="s">
        <v>79</v>
      </c>
      <c r="D70" s="36" t="s">
        <v>61</v>
      </c>
      <c r="E70" s="134">
        <f>300000-157654-142346</f>
        <v>0</v>
      </c>
      <c r="F70" s="6"/>
      <c r="G70" s="22">
        <f>E70</f>
        <v>0</v>
      </c>
    </row>
    <row r="71" spans="1:7" ht="16.5" customHeight="1" hidden="1">
      <c r="A71" s="6"/>
      <c r="B71" s="17" t="s">
        <v>200</v>
      </c>
      <c r="C71" s="36"/>
      <c r="D71" s="36"/>
      <c r="E71" s="133" t="s">
        <v>28</v>
      </c>
      <c r="F71" s="80"/>
      <c r="G71" s="22"/>
    </row>
    <row r="72" spans="1:7" ht="35.25" customHeight="1" hidden="1">
      <c r="A72" s="6"/>
      <c r="B72" s="7" t="s">
        <v>29</v>
      </c>
      <c r="C72" s="36" t="s">
        <v>66</v>
      </c>
      <c r="D72" s="36" t="s">
        <v>69</v>
      </c>
      <c r="E72" s="133">
        <v>3</v>
      </c>
      <c r="F72" s="29"/>
      <c r="G72" s="22">
        <f>E72</f>
        <v>3</v>
      </c>
    </row>
    <row r="73" spans="1:7" ht="15.75" customHeight="1" hidden="1">
      <c r="A73" s="6"/>
      <c r="B73" s="17" t="s">
        <v>201</v>
      </c>
      <c r="C73" s="36"/>
      <c r="D73" s="36"/>
      <c r="E73" s="133" t="s">
        <v>28</v>
      </c>
      <c r="F73" s="39"/>
      <c r="G73" s="22"/>
    </row>
    <row r="74" spans="1:7" ht="20.25" customHeight="1" hidden="1">
      <c r="A74" s="6"/>
      <c r="B74" s="7" t="s">
        <v>143</v>
      </c>
      <c r="C74" s="36" t="s">
        <v>79</v>
      </c>
      <c r="D74" s="36" t="s">
        <v>70</v>
      </c>
      <c r="E74" s="134">
        <f>E70/E72</f>
        <v>0</v>
      </c>
      <c r="F74" s="39"/>
      <c r="G74" s="22">
        <f>E74</f>
        <v>0</v>
      </c>
    </row>
    <row r="75" spans="1:7" ht="15.75" hidden="1">
      <c r="A75" s="6"/>
      <c r="B75" s="17" t="s">
        <v>202</v>
      </c>
      <c r="C75" s="36"/>
      <c r="D75" s="36"/>
      <c r="E75" s="133" t="s">
        <v>28</v>
      </c>
      <c r="F75" s="39"/>
      <c r="G75" s="22"/>
    </row>
    <row r="76" spans="1:7" ht="16.5" customHeight="1" hidden="1">
      <c r="A76" s="6"/>
      <c r="B76" s="7" t="s">
        <v>290</v>
      </c>
      <c r="C76" s="36" t="s">
        <v>71</v>
      </c>
      <c r="D76" s="36" t="s">
        <v>70</v>
      </c>
      <c r="E76" s="172">
        <v>100</v>
      </c>
      <c r="F76" s="39"/>
      <c r="G76" s="22">
        <f>E76</f>
        <v>100</v>
      </c>
    </row>
    <row r="77" spans="1:7" ht="15.75" customHeight="1" hidden="1">
      <c r="A77" s="29"/>
      <c r="B77" s="510" t="s">
        <v>27</v>
      </c>
      <c r="C77" s="510"/>
      <c r="D77" s="510"/>
      <c r="E77" s="510"/>
      <c r="F77" s="510"/>
      <c r="G77" s="510"/>
    </row>
    <row r="78" spans="1:7" ht="15.75" customHeight="1" hidden="1">
      <c r="A78" s="41">
        <v>1</v>
      </c>
      <c r="B78" s="33" t="s">
        <v>199</v>
      </c>
      <c r="C78" s="35" t="s">
        <v>28</v>
      </c>
      <c r="D78" s="35" t="s">
        <v>28</v>
      </c>
      <c r="E78" s="54"/>
      <c r="F78" s="54"/>
      <c r="G78" s="54"/>
    </row>
    <row r="79" spans="1:7" ht="15.75" customHeight="1" hidden="1">
      <c r="A79" s="41"/>
      <c r="B79" s="31" t="s">
        <v>48</v>
      </c>
      <c r="C79" s="35" t="s">
        <v>79</v>
      </c>
      <c r="D79" s="35" t="s">
        <v>61</v>
      </c>
      <c r="E79" s="62">
        <v>300000</v>
      </c>
      <c r="F79" s="54"/>
      <c r="G79" s="62">
        <f>E79</f>
        <v>300000</v>
      </c>
    </row>
    <row r="80" spans="1:7" ht="15.75" customHeight="1" hidden="1">
      <c r="A80" s="41">
        <v>2</v>
      </c>
      <c r="B80" s="33" t="s">
        <v>200</v>
      </c>
      <c r="C80" s="28"/>
      <c r="D80" s="35"/>
      <c r="E80" s="62"/>
      <c r="F80" s="54"/>
      <c r="G80" s="62"/>
    </row>
    <row r="81" spans="1:7" ht="30.75" customHeight="1" hidden="1">
      <c r="A81" s="41"/>
      <c r="B81" s="7" t="s">
        <v>31</v>
      </c>
      <c r="C81" s="35" t="s">
        <v>66</v>
      </c>
      <c r="D81" s="35" t="s">
        <v>69</v>
      </c>
      <c r="E81" s="62">
        <v>5</v>
      </c>
      <c r="F81" s="54"/>
      <c r="G81" s="62">
        <f>E81</f>
        <v>5</v>
      </c>
    </row>
    <row r="82" spans="1:7" ht="15.75" customHeight="1" hidden="1">
      <c r="A82" s="41">
        <v>3</v>
      </c>
      <c r="B82" s="33" t="s">
        <v>201</v>
      </c>
      <c r="C82" s="28"/>
      <c r="D82" s="36"/>
      <c r="E82" s="62"/>
      <c r="F82" s="54"/>
      <c r="G82" s="62"/>
    </row>
    <row r="83" spans="1:7" ht="15.75" customHeight="1" hidden="1">
      <c r="A83" s="41"/>
      <c r="B83" s="34" t="s">
        <v>30</v>
      </c>
      <c r="C83" s="35" t="s">
        <v>79</v>
      </c>
      <c r="D83" s="36" t="s">
        <v>70</v>
      </c>
      <c r="E83" s="62">
        <f>E79/E81</f>
        <v>60000</v>
      </c>
      <c r="F83" s="54"/>
      <c r="G83" s="62">
        <f>E83</f>
        <v>60000</v>
      </c>
    </row>
    <row r="84" spans="1:7" ht="15.75" customHeight="1" hidden="1">
      <c r="A84" s="41">
        <v>4</v>
      </c>
      <c r="B84" s="33" t="s">
        <v>202</v>
      </c>
      <c r="C84" s="28"/>
      <c r="D84" s="35"/>
      <c r="E84" s="62"/>
      <c r="F84" s="54"/>
      <c r="G84" s="62"/>
    </row>
    <row r="85" spans="1:7" ht="15.75" customHeight="1" hidden="1">
      <c r="A85" s="29"/>
      <c r="B85" s="28" t="s">
        <v>55</v>
      </c>
      <c r="C85" s="37" t="s">
        <v>71</v>
      </c>
      <c r="D85" s="36" t="s">
        <v>70</v>
      </c>
      <c r="E85" s="62">
        <v>100</v>
      </c>
      <c r="F85" s="54"/>
      <c r="G85" s="62">
        <f>E85</f>
        <v>100</v>
      </c>
    </row>
    <row r="86" spans="1:7" ht="15.75" customHeight="1">
      <c r="A86" s="29" t="s">
        <v>170</v>
      </c>
      <c r="B86" s="55" t="s">
        <v>649</v>
      </c>
      <c r="C86" s="37"/>
      <c r="D86" s="36"/>
      <c r="E86" s="54"/>
      <c r="F86" s="54"/>
      <c r="G86" s="54"/>
    </row>
    <row r="87" spans="1:7" ht="15.75" customHeight="1">
      <c r="A87" s="41"/>
      <c r="B87" s="165" t="s">
        <v>199</v>
      </c>
      <c r="C87" s="158" t="s">
        <v>28</v>
      </c>
      <c r="D87" s="158" t="s">
        <v>28</v>
      </c>
      <c r="E87" s="54"/>
      <c r="F87" s="54"/>
      <c r="G87" s="54"/>
    </row>
    <row r="88" spans="1:7" ht="15.75" customHeight="1">
      <c r="A88" s="41"/>
      <c r="B88" s="146" t="s">
        <v>48</v>
      </c>
      <c r="C88" s="158" t="s">
        <v>79</v>
      </c>
      <c r="D88" s="158" t="s">
        <v>61</v>
      </c>
      <c r="E88" s="134">
        <v>10000</v>
      </c>
      <c r="F88" s="62"/>
      <c r="G88" s="62">
        <f>E88+F88</f>
        <v>10000</v>
      </c>
    </row>
    <row r="89" spans="1:7" ht="15.75" customHeight="1">
      <c r="A89" s="41"/>
      <c r="B89" s="165" t="s">
        <v>200</v>
      </c>
      <c r="C89" s="166"/>
      <c r="D89" s="158"/>
      <c r="E89" s="133" t="s">
        <v>28</v>
      </c>
      <c r="F89" s="54"/>
      <c r="G89" s="62"/>
    </row>
    <row r="90" spans="1:7" ht="18.75" customHeight="1">
      <c r="A90" s="41"/>
      <c r="B90" s="146" t="s">
        <v>350</v>
      </c>
      <c r="C90" s="158" t="s">
        <v>37</v>
      </c>
      <c r="D90" s="158" t="s">
        <v>70</v>
      </c>
      <c r="E90" s="170">
        <v>45</v>
      </c>
      <c r="F90" s="116"/>
      <c r="G90" s="62">
        <f>E90+F90</f>
        <v>45</v>
      </c>
    </row>
    <row r="91" spans="1:7" ht="15.75" customHeight="1">
      <c r="A91" s="41"/>
      <c r="B91" s="165" t="s">
        <v>201</v>
      </c>
      <c r="C91" s="167"/>
      <c r="D91" s="167"/>
      <c r="E91" s="133" t="s">
        <v>28</v>
      </c>
      <c r="F91" s="116"/>
      <c r="G91" s="62"/>
    </row>
    <row r="92" spans="1:7" ht="30.75" customHeight="1">
      <c r="A92" s="41"/>
      <c r="B92" s="161" t="s">
        <v>351</v>
      </c>
      <c r="C92" s="158" t="s">
        <v>79</v>
      </c>
      <c r="D92" s="167" t="s">
        <v>70</v>
      </c>
      <c r="E92" s="171">
        <f>E88/E90</f>
        <v>222.22222222222223</v>
      </c>
      <c r="F92" s="127"/>
      <c r="G92" s="128">
        <f>E92+F92</f>
        <v>222.22222222222223</v>
      </c>
    </row>
    <row r="93" spans="1:7" ht="15.75" customHeight="1">
      <c r="A93" s="41"/>
      <c r="B93" s="165" t="s">
        <v>202</v>
      </c>
      <c r="C93" s="166"/>
      <c r="D93" s="158"/>
      <c r="E93" s="133" t="s">
        <v>28</v>
      </c>
      <c r="F93" s="116"/>
      <c r="G93" s="62"/>
    </row>
    <row r="94" spans="1:7" ht="15" customHeight="1">
      <c r="A94" s="41"/>
      <c r="B94" s="167" t="s">
        <v>290</v>
      </c>
      <c r="C94" s="168" t="s">
        <v>71</v>
      </c>
      <c r="D94" s="167" t="s">
        <v>70</v>
      </c>
      <c r="E94" s="172">
        <v>100</v>
      </c>
      <c r="F94" s="116"/>
      <c r="G94" s="62">
        <f>E94+F94</f>
        <v>100</v>
      </c>
    </row>
    <row r="95" spans="1:8" ht="15.75" customHeight="1">
      <c r="A95" s="41" t="s">
        <v>171</v>
      </c>
      <c r="B95" s="510" t="s">
        <v>652</v>
      </c>
      <c r="C95" s="511"/>
      <c r="D95" s="511"/>
      <c r="E95" s="511"/>
      <c r="F95" s="511"/>
      <c r="G95" s="511"/>
      <c r="H95" s="89"/>
    </row>
    <row r="96" spans="1:7" ht="15.75" customHeight="1">
      <c r="A96" s="41"/>
      <c r="B96" s="165" t="s">
        <v>199</v>
      </c>
      <c r="C96" s="56"/>
      <c r="D96" s="56"/>
      <c r="E96" s="54"/>
      <c r="F96" s="54"/>
      <c r="G96" s="54"/>
    </row>
    <row r="97" spans="1:7" ht="15.75" customHeight="1">
      <c r="A97" s="41"/>
      <c r="B97" s="146" t="s">
        <v>48</v>
      </c>
      <c r="C97" s="37" t="s">
        <v>79</v>
      </c>
      <c r="D97" s="37" t="s">
        <v>61</v>
      </c>
      <c r="E97" s="176">
        <v>45000</v>
      </c>
      <c r="F97" s="54"/>
      <c r="G97" s="62">
        <f>E97</f>
        <v>45000</v>
      </c>
    </row>
    <row r="98" spans="1:7" ht="15.75" customHeight="1">
      <c r="A98" s="41"/>
      <c r="B98" s="165" t="s">
        <v>200</v>
      </c>
      <c r="C98" s="37"/>
      <c r="D98" s="37"/>
      <c r="E98" s="176"/>
      <c r="F98" s="54"/>
      <c r="G98" s="62"/>
    </row>
    <row r="99" spans="1:7" ht="29.25" customHeight="1">
      <c r="A99" s="41"/>
      <c r="B99" s="146" t="s">
        <v>355</v>
      </c>
      <c r="C99" s="37" t="s">
        <v>66</v>
      </c>
      <c r="D99" s="37" t="s">
        <v>80</v>
      </c>
      <c r="E99" s="176">
        <v>5</v>
      </c>
      <c r="F99" s="54"/>
      <c r="G99" s="62">
        <f>E99</f>
        <v>5</v>
      </c>
    </row>
    <row r="100" spans="1:7" ht="15.75" customHeight="1">
      <c r="A100" s="41"/>
      <c r="B100" s="165" t="s">
        <v>201</v>
      </c>
      <c r="C100" s="37"/>
      <c r="D100" s="37"/>
      <c r="E100" s="176"/>
      <c r="F100" s="54"/>
      <c r="G100" s="62"/>
    </row>
    <row r="101" spans="1:7" ht="27" customHeight="1">
      <c r="A101" s="41"/>
      <c r="B101" s="146" t="s">
        <v>356</v>
      </c>
      <c r="C101" s="37" t="s">
        <v>79</v>
      </c>
      <c r="D101" s="37" t="s">
        <v>70</v>
      </c>
      <c r="E101" s="177">
        <f>E97/E99</f>
        <v>9000</v>
      </c>
      <c r="F101" s="54"/>
      <c r="G101" s="62">
        <f>E101</f>
        <v>9000</v>
      </c>
    </row>
    <row r="102" spans="1:7" ht="15.75" customHeight="1">
      <c r="A102" s="41"/>
      <c r="B102" s="165" t="s">
        <v>202</v>
      </c>
      <c r="C102" s="37"/>
      <c r="D102" s="37"/>
      <c r="E102" s="176"/>
      <c r="F102" s="54"/>
      <c r="G102" s="62"/>
    </row>
    <row r="103" spans="1:7" ht="48" customHeight="1">
      <c r="A103" s="41"/>
      <c r="B103" s="146" t="s">
        <v>32</v>
      </c>
      <c r="C103" s="37" t="s">
        <v>71</v>
      </c>
      <c r="D103" s="37" t="s">
        <v>70</v>
      </c>
      <c r="E103" s="176">
        <v>100</v>
      </c>
      <c r="F103" s="54"/>
      <c r="G103" s="62">
        <f>E103</f>
        <v>100</v>
      </c>
    </row>
    <row r="104" spans="1:7" ht="15.75" customHeight="1">
      <c r="A104" s="41" t="s">
        <v>172</v>
      </c>
      <c r="B104" s="54" t="s">
        <v>651</v>
      </c>
      <c r="C104" s="60"/>
      <c r="D104" s="60"/>
      <c r="E104" s="54"/>
      <c r="F104" s="54"/>
      <c r="G104" s="54"/>
    </row>
    <row r="105" spans="1:7" ht="15.75" customHeight="1">
      <c r="A105" s="41"/>
      <c r="B105" s="33" t="s">
        <v>199</v>
      </c>
      <c r="C105" s="61"/>
      <c r="D105" s="61"/>
      <c r="E105" s="54"/>
      <c r="F105" s="54"/>
      <c r="G105" s="54"/>
    </row>
    <row r="106" spans="1:7" ht="15.75" customHeight="1">
      <c r="A106" s="41"/>
      <c r="B106" s="31" t="s">
        <v>48</v>
      </c>
      <c r="C106" s="36" t="s">
        <v>79</v>
      </c>
      <c r="D106" s="37" t="s">
        <v>61</v>
      </c>
      <c r="E106" s="39">
        <v>0</v>
      </c>
      <c r="F106" s="54"/>
      <c r="G106" s="62">
        <f>E106</f>
        <v>0</v>
      </c>
    </row>
    <row r="107" spans="1:7" ht="15.75" customHeight="1">
      <c r="A107" s="41"/>
      <c r="B107" s="33" t="s">
        <v>200</v>
      </c>
      <c r="C107" s="36"/>
      <c r="D107" s="37"/>
      <c r="E107" s="39"/>
      <c r="F107" s="54"/>
      <c r="G107" s="62"/>
    </row>
    <row r="108" spans="1:7" ht="27" customHeight="1">
      <c r="A108" s="41"/>
      <c r="B108" s="146" t="s">
        <v>352</v>
      </c>
      <c r="C108" s="169" t="s">
        <v>37</v>
      </c>
      <c r="D108" s="168" t="s">
        <v>70</v>
      </c>
      <c r="E108" s="39">
        <v>80</v>
      </c>
      <c r="F108" s="54"/>
      <c r="G108" s="62">
        <f>E108</f>
        <v>80</v>
      </c>
    </row>
    <row r="109" spans="1:7" ht="15.75" customHeight="1">
      <c r="A109" s="41">
        <v>3</v>
      </c>
      <c r="B109" s="33" t="s">
        <v>201</v>
      </c>
      <c r="C109" s="36"/>
      <c r="D109" s="37"/>
      <c r="E109" s="39"/>
      <c r="F109" s="54"/>
      <c r="G109" s="62"/>
    </row>
    <row r="110" spans="1:7" ht="44.25" customHeight="1">
      <c r="A110" s="41"/>
      <c r="B110" s="146" t="s">
        <v>353</v>
      </c>
      <c r="C110" s="169" t="s">
        <v>79</v>
      </c>
      <c r="D110" s="168" t="s">
        <v>70</v>
      </c>
      <c r="E110" s="173">
        <f>E106/E108</f>
        <v>0</v>
      </c>
      <c r="F110" s="54"/>
      <c r="G110" s="128">
        <f>E110</f>
        <v>0</v>
      </c>
    </row>
    <row r="111" spans="1:7" ht="15.75" customHeight="1">
      <c r="A111" s="41">
        <v>4</v>
      </c>
      <c r="B111" s="33" t="s">
        <v>202</v>
      </c>
      <c r="C111" s="36"/>
      <c r="D111" s="37"/>
      <c r="E111" s="39"/>
      <c r="F111" s="54"/>
      <c r="G111" s="62"/>
    </row>
    <row r="112" spans="1:7" ht="45">
      <c r="A112" s="29"/>
      <c r="B112" s="31" t="s">
        <v>32</v>
      </c>
      <c r="C112" s="36" t="s">
        <v>71</v>
      </c>
      <c r="D112" s="37" t="s">
        <v>70</v>
      </c>
      <c r="E112" s="46">
        <v>100</v>
      </c>
      <c r="F112" s="28"/>
      <c r="G112" s="62">
        <f>E112</f>
        <v>100</v>
      </c>
    </row>
    <row r="113" spans="1:7" ht="18.75" customHeight="1" hidden="1">
      <c r="A113" s="41"/>
      <c r="B113" s="512" t="s">
        <v>346</v>
      </c>
      <c r="C113" s="513"/>
      <c r="D113" s="513"/>
      <c r="E113" s="513"/>
      <c r="F113" s="513"/>
      <c r="G113" s="514"/>
    </row>
    <row r="114" spans="1:7" ht="15.75" hidden="1">
      <c r="A114" s="41">
        <v>1</v>
      </c>
      <c r="B114" s="33" t="s">
        <v>199</v>
      </c>
      <c r="C114" s="61"/>
      <c r="D114" s="61"/>
      <c r="E114" s="54"/>
      <c r="F114" s="54"/>
      <c r="G114" s="54"/>
    </row>
    <row r="115" spans="1:7" ht="15.75" hidden="1">
      <c r="A115" s="41"/>
      <c r="B115" s="146" t="s">
        <v>48</v>
      </c>
      <c r="C115" s="36" t="s">
        <v>79</v>
      </c>
      <c r="D115" s="37" t="s">
        <v>61</v>
      </c>
      <c r="E115" s="39">
        <f>357313-222441-134872</f>
        <v>0</v>
      </c>
      <c r="F115" s="54"/>
      <c r="G115" s="62">
        <f>E115</f>
        <v>0</v>
      </c>
    </row>
    <row r="116" spans="1:7" ht="15.75" hidden="1">
      <c r="A116" s="41">
        <v>2</v>
      </c>
      <c r="B116" s="165" t="s">
        <v>200</v>
      </c>
      <c r="C116" s="36"/>
      <c r="D116" s="37"/>
      <c r="E116" s="39"/>
      <c r="F116" s="54"/>
      <c r="G116" s="62"/>
    </row>
    <row r="117" spans="1:7" ht="30" hidden="1">
      <c r="A117" s="41"/>
      <c r="B117" s="146" t="s">
        <v>354</v>
      </c>
      <c r="C117" s="36" t="s">
        <v>66</v>
      </c>
      <c r="D117" s="37" t="s">
        <v>33</v>
      </c>
      <c r="E117" s="174">
        <v>1</v>
      </c>
      <c r="F117" s="54"/>
      <c r="G117" s="62">
        <f>E117</f>
        <v>1</v>
      </c>
    </row>
    <row r="118" spans="1:7" ht="15.75" hidden="1">
      <c r="A118" s="41">
        <v>3</v>
      </c>
      <c r="B118" s="165" t="s">
        <v>201</v>
      </c>
      <c r="C118" s="36"/>
      <c r="D118" s="37"/>
      <c r="E118" s="174"/>
      <c r="F118" s="54"/>
      <c r="G118" s="62"/>
    </row>
    <row r="119" spans="1:7" ht="15.75" hidden="1">
      <c r="A119" s="41"/>
      <c r="B119" s="146" t="s">
        <v>143</v>
      </c>
      <c r="C119" s="36" t="s">
        <v>79</v>
      </c>
      <c r="D119" s="37" t="s">
        <v>70</v>
      </c>
      <c r="E119" s="175">
        <f>E115/E117</f>
        <v>0</v>
      </c>
      <c r="F119" s="54"/>
      <c r="G119" s="128">
        <f>E119</f>
        <v>0</v>
      </c>
    </row>
    <row r="120" spans="1:7" ht="15.75" hidden="1">
      <c r="A120" s="41">
        <v>4</v>
      </c>
      <c r="B120" s="165" t="s">
        <v>202</v>
      </c>
      <c r="C120" s="36"/>
      <c r="D120" s="37"/>
      <c r="E120" s="174" t="s">
        <v>28</v>
      </c>
      <c r="F120" s="54"/>
      <c r="G120" s="62"/>
    </row>
    <row r="121" spans="1:7" ht="45" hidden="1">
      <c r="A121" s="29"/>
      <c r="B121" s="146" t="s">
        <v>38</v>
      </c>
      <c r="C121" s="36" t="s">
        <v>71</v>
      </c>
      <c r="D121" s="37" t="s">
        <v>70</v>
      </c>
      <c r="E121" s="46">
        <v>100</v>
      </c>
      <c r="F121" s="28"/>
      <c r="G121" s="62">
        <f>E121</f>
        <v>100</v>
      </c>
    </row>
    <row r="122" spans="1:4" ht="15.75">
      <c r="A122" s="3"/>
      <c r="B122" s="58"/>
      <c r="C122" s="59"/>
      <c r="D122" s="63"/>
    </row>
    <row r="123" spans="1:4" ht="15.75">
      <c r="A123" s="3"/>
      <c r="B123" s="58"/>
      <c r="C123" s="59"/>
      <c r="D123" s="63"/>
    </row>
    <row r="124" spans="1:7" ht="15.75">
      <c r="A124" s="3" t="s">
        <v>73</v>
      </c>
      <c r="B124" s="3"/>
      <c r="C124" s="3"/>
      <c r="D124" s="8"/>
      <c r="E124" s="75"/>
      <c r="F124" s="430" t="s">
        <v>74</v>
      </c>
      <c r="G124" s="430"/>
    </row>
    <row r="125" spans="1:7" ht="15">
      <c r="A125" s="85"/>
      <c r="B125" s="85"/>
      <c r="C125" s="85"/>
      <c r="D125" s="5" t="s">
        <v>203</v>
      </c>
      <c r="E125" s="86"/>
      <c r="F125" s="472" t="s">
        <v>75</v>
      </c>
      <c r="G125" s="473"/>
    </row>
    <row r="126" spans="1:7" ht="15.75">
      <c r="A126" s="474"/>
      <c r="B126" s="474"/>
      <c r="C126" s="85"/>
      <c r="D126" s="2"/>
      <c r="E126" s="85"/>
      <c r="F126" s="85"/>
      <c r="G126" s="85"/>
    </row>
    <row r="127" spans="1:7" ht="15.75">
      <c r="A127" s="433" t="s">
        <v>204</v>
      </c>
      <c r="B127" s="433"/>
      <c r="C127" s="85"/>
      <c r="E127" s="85"/>
      <c r="F127" s="85"/>
      <c r="G127" s="85"/>
    </row>
    <row r="128" spans="1:7" ht="15.75" customHeight="1">
      <c r="A128" s="3" t="s">
        <v>281</v>
      </c>
      <c r="B128" s="3"/>
      <c r="C128" s="3"/>
      <c r="D128" s="8"/>
      <c r="E128" s="75"/>
      <c r="F128" s="430" t="s">
        <v>76</v>
      </c>
      <c r="G128" s="430"/>
    </row>
    <row r="129" spans="1:7" ht="15.75" customHeight="1">
      <c r="A129" s="3" t="s">
        <v>286</v>
      </c>
      <c r="B129" s="3"/>
      <c r="C129" s="3"/>
      <c r="D129" s="5" t="s">
        <v>203</v>
      </c>
      <c r="E129" s="5"/>
      <c r="F129" s="431" t="s">
        <v>75</v>
      </c>
      <c r="G129" s="432"/>
    </row>
    <row r="130" spans="1:7" ht="15.75" customHeight="1">
      <c r="A130" s="3"/>
      <c r="B130" s="3"/>
      <c r="C130" s="3"/>
      <c r="D130" s="15"/>
      <c r="E130" s="75"/>
      <c r="F130" s="51"/>
      <c r="G130" s="51"/>
    </row>
    <row r="131" spans="1:7" ht="15.75" customHeight="1">
      <c r="A131" s="3"/>
      <c r="B131" s="3"/>
      <c r="C131" s="3"/>
      <c r="D131" s="15"/>
      <c r="E131" s="75"/>
      <c r="F131" s="51"/>
      <c r="G131" s="51"/>
    </row>
    <row r="132" spans="1:3" ht="15">
      <c r="A132" s="85"/>
      <c r="B132" s="102"/>
      <c r="C132" s="85"/>
    </row>
    <row r="133" spans="1:7" ht="15.75">
      <c r="A133" s="1"/>
      <c r="B133" s="92" t="s">
        <v>162</v>
      </c>
      <c r="C133" s="2"/>
      <c r="F133" s="475"/>
      <c r="G133" s="475"/>
    </row>
    <row r="134" ht="15">
      <c r="B134" s="23" t="s">
        <v>163</v>
      </c>
    </row>
  </sheetData>
  <sheetProtection/>
  <mergeCells count="49">
    <mergeCell ref="F125:G125"/>
    <mergeCell ref="A126:B126"/>
    <mergeCell ref="A127:B127"/>
    <mergeCell ref="F128:G128"/>
    <mergeCell ref="F129:G129"/>
    <mergeCell ref="F133:G133"/>
    <mergeCell ref="B64:G64"/>
    <mergeCell ref="B68:G68"/>
    <mergeCell ref="B77:G77"/>
    <mergeCell ref="B95:G95"/>
    <mergeCell ref="B113:G113"/>
    <mergeCell ref="F124:G124"/>
    <mergeCell ref="B39:G39"/>
    <mergeCell ref="B40:G40"/>
    <mergeCell ref="A42:A43"/>
    <mergeCell ref="B42:G42"/>
    <mergeCell ref="A52:B52"/>
    <mergeCell ref="A55:A56"/>
    <mergeCell ref="B55:G55"/>
    <mergeCell ref="B32:G32"/>
    <mergeCell ref="B33:D33"/>
    <mergeCell ref="B35:G35"/>
    <mergeCell ref="B36:G36"/>
    <mergeCell ref="B37:G37"/>
    <mergeCell ref="B38:G38"/>
    <mergeCell ref="B24:G24"/>
    <mergeCell ref="B25:G25"/>
    <mergeCell ref="B26:G26"/>
    <mergeCell ref="B28:G28"/>
    <mergeCell ref="B29:G29"/>
    <mergeCell ref="B30:G30"/>
    <mergeCell ref="E17:F17"/>
    <mergeCell ref="B19:G19"/>
    <mergeCell ref="B20:G20"/>
    <mergeCell ref="B21:G21"/>
    <mergeCell ref="B22:G22"/>
    <mergeCell ref="B23:G23"/>
    <mergeCell ref="A10:G10"/>
    <mergeCell ref="D12:F12"/>
    <mergeCell ref="D13:E13"/>
    <mergeCell ref="D14:F14"/>
    <mergeCell ref="D15:E15"/>
    <mergeCell ref="E16:F16"/>
    <mergeCell ref="E1:G1"/>
    <mergeCell ref="E4:G4"/>
    <mergeCell ref="E5:G5"/>
    <mergeCell ref="E6:G6"/>
    <mergeCell ref="E7:G7"/>
    <mergeCell ref="A9:G9"/>
  </mergeCells>
  <printOptions horizontalCentered="1" verticalCentered="1"/>
  <pageMargins left="0.5118110236220472" right="0.5118110236220472" top="1.141732283464567" bottom="0.35433070866141736" header="0.31496062992125984" footer="0.31496062992125984"/>
  <pageSetup fitToHeight="4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82"/>
  <sheetViews>
    <sheetView zoomScalePageLayoutView="0" workbookViewId="0" topLeftCell="A7">
      <selection activeCell="D78" sqref="D78"/>
    </sheetView>
  </sheetViews>
  <sheetFormatPr defaultColWidth="21.57421875" defaultRowHeight="15"/>
  <cols>
    <col min="1" max="1" width="6.57421875" style="4" customWidth="1"/>
    <col min="2" max="2" width="33.421875" style="4" customWidth="1"/>
    <col min="3" max="16384" width="21.57421875" style="4" customWidth="1"/>
  </cols>
  <sheetData>
    <row r="1" spans="5:7" ht="77.25" customHeight="1">
      <c r="E1" s="484" t="s">
        <v>285</v>
      </c>
      <c r="F1" s="471"/>
      <c r="G1" s="471"/>
    </row>
    <row r="2" spans="1:5" ht="15.75">
      <c r="A2" s="1"/>
      <c r="E2" s="1"/>
    </row>
    <row r="3" spans="1:5" ht="15.75">
      <c r="A3" s="1"/>
      <c r="E3" s="1" t="s">
        <v>166</v>
      </c>
    </row>
    <row r="4" spans="1:7" ht="15.75" customHeight="1">
      <c r="A4" s="1"/>
      <c r="E4" s="468" t="s">
        <v>216</v>
      </c>
      <c r="F4" s="468"/>
      <c r="G4" s="468"/>
    </row>
    <row r="5" spans="1:7" ht="15.75">
      <c r="A5" s="1"/>
      <c r="B5" s="1"/>
      <c r="E5" s="469" t="s">
        <v>207</v>
      </c>
      <c r="F5" s="469"/>
      <c r="G5" s="469"/>
    </row>
    <row r="6" spans="1:7" ht="15" customHeight="1">
      <c r="A6" s="1"/>
      <c r="E6" s="470" t="s">
        <v>167</v>
      </c>
      <c r="F6" s="470"/>
      <c r="G6" s="470"/>
    </row>
    <row r="7" spans="5:7" ht="15">
      <c r="E7" s="443" t="s">
        <v>94</v>
      </c>
      <c r="F7" s="471"/>
      <c r="G7" s="471"/>
    </row>
    <row r="9" spans="1:7" ht="15.75">
      <c r="A9" s="455" t="s">
        <v>168</v>
      </c>
      <c r="B9" s="455"/>
      <c r="C9" s="455"/>
      <c r="D9" s="455"/>
      <c r="E9" s="455"/>
      <c r="F9" s="455"/>
      <c r="G9" s="455"/>
    </row>
    <row r="10" spans="1:7" ht="15.75">
      <c r="A10" s="455" t="s">
        <v>315</v>
      </c>
      <c r="B10" s="455"/>
      <c r="C10" s="455"/>
      <c r="D10" s="455"/>
      <c r="E10" s="455"/>
      <c r="F10" s="455"/>
      <c r="G10" s="455"/>
    </row>
    <row r="11" spans="1:7" ht="15.75">
      <c r="A11" s="156"/>
      <c r="B11" s="156"/>
      <c r="C11" s="156"/>
      <c r="D11" s="156"/>
      <c r="E11" s="156"/>
      <c r="F11" s="156"/>
      <c r="G11" s="156"/>
    </row>
    <row r="12" spans="1:7" ht="15" customHeight="1">
      <c r="A12" s="214" t="s">
        <v>304</v>
      </c>
      <c r="B12" s="405" t="s">
        <v>478</v>
      </c>
      <c r="C12" s="210"/>
      <c r="D12" s="456" t="s">
        <v>207</v>
      </c>
      <c r="E12" s="457"/>
      <c r="F12" s="458"/>
      <c r="G12" s="190">
        <v>38068238</v>
      </c>
    </row>
    <row r="13" spans="2:7" ht="30.75" customHeight="1">
      <c r="B13" s="407" t="s">
        <v>308</v>
      </c>
      <c r="C13" s="196"/>
      <c r="D13" s="459" t="s">
        <v>167</v>
      </c>
      <c r="E13" s="459"/>
      <c r="F13" s="212"/>
      <c r="G13" s="192" t="s">
        <v>305</v>
      </c>
    </row>
    <row r="14" spans="1:7" ht="15" customHeight="1">
      <c r="A14" s="213" t="s">
        <v>306</v>
      </c>
      <c r="B14" s="405" t="s">
        <v>479</v>
      </c>
      <c r="C14" s="211"/>
      <c r="D14" s="460" t="s">
        <v>207</v>
      </c>
      <c r="E14" s="461"/>
      <c r="F14" s="462"/>
      <c r="G14" s="193">
        <v>38068238</v>
      </c>
    </row>
    <row r="15" spans="1:7" ht="39" customHeight="1">
      <c r="A15" s="213"/>
      <c r="B15" s="407" t="s">
        <v>308</v>
      </c>
      <c r="C15" s="196"/>
      <c r="D15" s="463" t="s">
        <v>205</v>
      </c>
      <c r="E15" s="463"/>
      <c r="F15" s="212"/>
      <c r="G15" s="192" t="s">
        <v>305</v>
      </c>
    </row>
    <row r="16" spans="1:7" ht="48" customHeight="1">
      <c r="A16" s="194" t="s">
        <v>307</v>
      </c>
      <c r="B16" s="405" t="s">
        <v>680</v>
      </c>
      <c r="C16" s="405" t="s">
        <v>681</v>
      </c>
      <c r="D16" s="405" t="s">
        <v>35</v>
      </c>
      <c r="E16" s="464" t="s">
        <v>682</v>
      </c>
      <c r="F16" s="465"/>
      <c r="G16" s="405" t="s">
        <v>477</v>
      </c>
    </row>
    <row r="17" spans="1:7" ht="45" customHeight="1">
      <c r="A17" s="195"/>
      <c r="B17" s="196" t="s">
        <v>308</v>
      </c>
      <c r="C17" s="407" t="s">
        <v>309</v>
      </c>
      <c r="D17" s="191" t="s">
        <v>310</v>
      </c>
      <c r="E17" s="454" t="s">
        <v>311</v>
      </c>
      <c r="F17" s="454"/>
      <c r="G17" s="407" t="s">
        <v>312</v>
      </c>
    </row>
    <row r="18" spans="1:7" ht="51" customHeight="1">
      <c r="A18" s="2" t="s">
        <v>172</v>
      </c>
      <c r="B18" s="9" t="s">
        <v>210</v>
      </c>
      <c r="C18" s="95">
        <f>E18+G18</f>
        <v>43173</v>
      </c>
      <c r="D18" s="9" t="s">
        <v>43</v>
      </c>
      <c r="E18" s="95">
        <v>0</v>
      </c>
      <c r="F18" s="9" t="s">
        <v>44</v>
      </c>
      <c r="G18" s="95">
        <v>43173</v>
      </c>
    </row>
    <row r="19" spans="1:7" ht="15.75">
      <c r="A19" s="2" t="s">
        <v>9</v>
      </c>
      <c r="B19" s="436" t="s">
        <v>209</v>
      </c>
      <c r="C19" s="436"/>
      <c r="D19" s="436"/>
      <c r="E19" s="436"/>
      <c r="F19" s="436"/>
      <c r="G19" s="436"/>
    </row>
    <row r="20" spans="1:7" ht="15.75" customHeight="1">
      <c r="A20" s="2"/>
      <c r="B20" s="436" t="s">
        <v>211</v>
      </c>
      <c r="C20" s="436"/>
      <c r="D20" s="436"/>
      <c r="E20" s="436"/>
      <c r="F20" s="436"/>
      <c r="G20" s="436"/>
    </row>
    <row r="21" spans="1:7" ht="15.75" customHeight="1">
      <c r="A21" s="2"/>
      <c r="B21" s="436" t="s">
        <v>215</v>
      </c>
      <c r="C21" s="436"/>
      <c r="D21" s="436"/>
      <c r="E21" s="436"/>
      <c r="F21" s="436"/>
      <c r="G21" s="436"/>
    </row>
    <row r="22" spans="1:7" ht="18" customHeight="1">
      <c r="A22" s="2"/>
      <c r="B22" s="436" t="s">
        <v>579</v>
      </c>
      <c r="C22" s="436"/>
      <c r="D22" s="436"/>
      <c r="E22" s="436"/>
      <c r="F22" s="436"/>
      <c r="G22" s="436"/>
    </row>
    <row r="23" spans="1:7" ht="31.5" customHeight="1">
      <c r="A23" s="2"/>
      <c r="B23" s="436" t="s">
        <v>144</v>
      </c>
      <c r="C23" s="436"/>
      <c r="D23" s="436"/>
      <c r="E23" s="436"/>
      <c r="F23" s="436"/>
      <c r="G23" s="436"/>
    </row>
    <row r="24" spans="1:7" ht="27" customHeight="1">
      <c r="A24" s="2"/>
      <c r="B24" s="450" t="s">
        <v>481</v>
      </c>
      <c r="C24" s="450"/>
      <c r="D24" s="450"/>
      <c r="E24" s="450"/>
      <c r="F24" s="450"/>
      <c r="G24" s="450"/>
    </row>
    <row r="25" spans="1:7" ht="31.5" customHeight="1">
      <c r="A25" s="2"/>
      <c r="B25" s="450" t="s">
        <v>483</v>
      </c>
      <c r="C25" s="450"/>
      <c r="D25" s="450"/>
      <c r="E25" s="450"/>
      <c r="F25" s="450"/>
      <c r="G25" s="450"/>
    </row>
    <row r="26" spans="1:7" ht="21.75" customHeight="1">
      <c r="A26" s="2"/>
      <c r="B26" s="9"/>
      <c r="C26" s="9"/>
      <c r="D26" s="9"/>
      <c r="E26" s="9"/>
      <c r="F26" s="9"/>
      <c r="G26" s="9"/>
    </row>
    <row r="27" spans="1:7" ht="24.75" customHeight="1">
      <c r="A27" s="2" t="s">
        <v>10</v>
      </c>
      <c r="B27" s="515" t="s">
        <v>41</v>
      </c>
      <c r="C27" s="515"/>
      <c r="D27" s="515"/>
      <c r="E27" s="515"/>
      <c r="F27" s="515"/>
      <c r="G27" s="515"/>
    </row>
    <row r="28" spans="1:7" ht="28.5" customHeight="1">
      <c r="A28" s="6"/>
      <c r="B28" s="451" t="s">
        <v>234</v>
      </c>
      <c r="C28" s="452"/>
      <c r="D28" s="452"/>
      <c r="E28" s="452"/>
      <c r="F28" s="452"/>
      <c r="G28" s="453"/>
    </row>
    <row r="29" spans="1:7" ht="39" customHeight="1">
      <c r="A29" s="6" t="s">
        <v>169</v>
      </c>
      <c r="B29" s="445" t="s">
        <v>683</v>
      </c>
      <c r="C29" s="446"/>
      <c r="D29" s="446"/>
      <c r="E29" s="446"/>
      <c r="F29" s="446"/>
      <c r="G29" s="447"/>
    </row>
    <row r="30" spans="1:7" ht="16.5" customHeight="1">
      <c r="A30" s="16"/>
      <c r="B30" s="50"/>
      <c r="C30" s="50"/>
      <c r="D30" s="50"/>
      <c r="E30" s="50"/>
      <c r="F30" s="50"/>
      <c r="G30" s="50"/>
    </row>
    <row r="31" spans="1:7" ht="52.5" customHeight="1">
      <c r="A31" s="2" t="s">
        <v>11</v>
      </c>
      <c r="B31" s="450" t="s">
        <v>684</v>
      </c>
      <c r="C31" s="450"/>
      <c r="D31" s="450"/>
      <c r="E31" s="450"/>
      <c r="F31" s="450"/>
      <c r="G31" s="450"/>
    </row>
    <row r="32" spans="1:4" ht="31.5" customHeight="1">
      <c r="A32" s="2" t="s">
        <v>15</v>
      </c>
      <c r="B32" s="443" t="s">
        <v>12</v>
      </c>
      <c r="C32" s="443"/>
      <c r="D32" s="443"/>
    </row>
    <row r="33" ht="15.75">
      <c r="A33" s="3"/>
    </row>
    <row r="34" spans="1:7" ht="15.75">
      <c r="A34" s="6" t="s">
        <v>13</v>
      </c>
      <c r="B34" s="444" t="s">
        <v>14</v>
      </c>
      <c r="C34" s="444"/>
      <c r="D34" s="444"/>
      <c r="E34" s="444"/>
      <c r="F34" s="444"/>
      <c r="G34" s="444"/>
    </row>
    <row r="35" spans="1:7" ht="35.25" customHeight="1">
      <c r="A35" s="6" t="s">
        <v>169</v>
      </c>
      <c r="B35" s="445" t="s">
        <v>685</v>
      </c>
      <c r="C35" s="446" t="s">
        <v>26</v>
      </c>
      <c r="D35" s="446" t="s">
        <v>26</v>
      </c>
      <c r="E35" s="446" t="s">
        <v>26</v>
      </c>
      <c r="F35" s="446" t="s">
        <v>26</v>
      </c>
      <c r="G35" s="447" t="s">
        <v>26</v>
      </c>
    </row>
    <row r="36" spans="1:7" s="32" customFormat="1" ht="15.75" customHeight="1">
      <c r="A36" s="51"/>
      <c r="B36" s="50"/>
      <c r="C36" s="50"/>
      <c r="D36" s="50"/>
      <c r="E36" s="50"/>
      <c r="F36" s="50"/>
      <c r="G36" s="50"/>
    </row>
    <row r="37" spans="1:7" ht="15.75" customHeight="1">
      <c r="A37" s="435">
        <v>9</v>
      </c>
      <c r="B37" s="436" t="s">
        <v>16</v>
      </c>
      <c r="C37" s="436"/>
      <c r="D37" s="436"/>
      <c r="E37" s="436"/>
      <c r="F37" s="436"/>
      <c r="G37" s="436"/>
    </row>
    <row r="38" spans="1:7" ht="15.75">
      <c r="A38" s="435"/>
      <c r="B38" s="1" t="s">
        <v>17</v>
      </c>
      <c r="C38" s="3"/>
      <c r="D38" s="3"/>
      <c r="E38" s="3"/>
      <c r="F38" s="3"/>
      <c r="G38" s="3"/>
    </row>
    <row r="39" spans="1:7" ht="31.5">
      <c r="A39" s="6" t="s">
        <v>13</v>
      </c>
      <c r="B39" s="6" t="s">
        <v>18</v>
      </c>
      <c r="C39" s="6" t="s">
        <v>19</v>
      </c>
      <c r="D39" s="6" t="s">
        <v>20</v>
      </c>
      <c r="E39" s="6" t="s">
        <v>21</v>
      </c>
      <c r="F39" s="3"/>
      <c r="G39" s="3"/>
    </row>
    <row r="40" spans="1:7" ht="15.75">
      <c r="A40" s="6">
        <v>1</v>
      </c>
      <c r="B40" s="6">
        <v>2</v>
      </c>
      <c r="C40" s="6">
        <v>3</v>
      </c>
      <c r="D40" s="6">
        <v>4</v>
      </c>
      <c r="E40" s="6">
        <v>6</v>
      </c>
      <c r="F40" s="3"/>
      <c r="G40" s="3"/>
    </row>
    <row r="41" spans="1:7" ht="127.5" customHeight="1">
      <c r="A41" s="6" t="s">
        <v>169</v>
      </c>
      <c r="B41" s="7" t="s">
        <v>686</v>
      </c>
      <c r="C41" s="13">
        <f>E21</f>
        <v>0</v>
      </c>
      <c r="D41" s="13">
        <f>G18</f>
        <v>43173</v>
      </c>
      <c r="E41" s="13">
        <f>C41+D41</f>
        <v>43173</v>
      </c>
      <c r="F41" s="3"/>
      <c r="G41" s="3"/>
    </row>
    <row r="42" spans="1:7" ht="15.75">
      <c r="A42" s="434" t="s">
        <v>21</v>
      </c>
      <c r="B42" s="434"/>
      <c r="C42" s="14">
        <f>C41</f>
        <v>0</v>
      </c>
      <c r="D42" s="14">
        <f>D41</f>
        <v>43173</v>
      </c>
      <c r="E42" s="14">
        <f>E41</f>
        <v>43173</v>
      </c>
      <c r="F42" s="3"/>
      <c r="G42" s="3"/>
    </row>
    <row r="43" spans="1:7" ht="15.75">
      <c r="A43" s="3"/>
      <c r="B43" s="3"/>
      <c r="C43" s="3"/>
      <c r="D43" s="3"/>
      <c r="E43" s="3"/>
      <c r="F43" s="3"/>
      <c r="G43" s="3"/>
    </row>
    <row r="44" spans="1:7" ht="15.75">
      <c r="A44" s="435" t="s">
        <v>194</v>
      </c>
      <c r="B44" s="436" t="s">
        <v>23</v>
      </c>
      <c r="C44" s="436"/>
      <c r="D44" s="436"/>
      <c r="E44" s="436"/>
      <c r="F44" s="436"/>
      <c r="G44" s="436"/>
    </row>
    <row r="45" spans="1:7" ht="15.75">
      <c r="A45" s="435"/>
      <c r="B45" s="1" t="s">
        <v>17</v>
      </c>
      <c r="C45" s="3"/>
      <c r="D45" s="3"/>
      <c r="E45" s="3"/>
      <c r="F45" s="3"/>
      <c r="G45" s="3"/>
    </row>
    <row r="46" spans="1:7" ht="31.5">
      <c r="A46" s="3"/>
      <c r="B46" s="6" t="s">
        <v>193</v>
      </c>
      <c r="C46" s="6" t="s">
        <v>19</v>
      </c>
      <c r="D46" s="6" t="s">
        <v>20</v>
      </c>
      <c r="E46" s="6" t="s">
        <v>21</v>
      </c>
      <c r="F46" s="3"/>
      <c r="G46" s="3"/>
    </row>
    <row r="47" spans="1:7" ht="15.75">
      <c r="A47" s="3"/>
      <c r="B47" s="6">
        <v>1</v>
      </c>
      <c r="C47" s="6">
        <v>2</v>
      </c>
      <c r="D47" s="6">
        <v>3</v>
      </c>
      <c r="E47" s="6">
        <v>4</v>
      </c>
      <c r="F47" s="3"/>
      <c r="G47" s="3"/>
    </row>
    <row r="48" spans="1:7" ht="94.5">
      <c r="A48" s="3"/>
      <c r="B48" s="189" t="s">
        <v>411</v>
      </c>
      <c r="C48" s="24">
        <f>E21</f>
        <v>0</v>
      </c>
      <c r="D48" s="24">
        <f>D42</f>
        <v>43173</v>
      </c>
      <c r="E48" s="24">
        <f>C48+D48</f>
        <v>43173</v>
      </c>
      <c r="F48" s="3"/>
      <c r="G48" s="3"/>
    </row>
    <row r="49" spans="1:7" ht="15.75" customHeight="1">
      <c r="A49" s="416"/>
      <c r="B49" s="17" t="s">
        <v>21</v>
      </c>
      <c r="C49" s="25">
        <f>C48</f>
        <v>0</v>
      </c>
      <c r="D49" s="25">
        <f>D48</f>
        <v>43173</v>
      </c>
      <c r="E49" s="25">
        <f>E48</f>
        <v>43173</v>
      </c>
      <c r="F49" s="416"/>
      <c r="G49" s="416"/>
    </row>
    <row r="50" spans="1:7" ht="15.75">
      <c r="A50" s="3"/>
      <c r="B50" s="3"/>
      <c r="C50" s="3"/>
      <c r="D50" s="3"/>
      <c r="E50" s="3"/>
      <c r="F50" s="3"/>
      <c r="G50" s="3"/>
    </row>
    <row r="51" spans="1:7" ht="46.5" customHeight="1">
      <c r="A51" s="2" t="s">
        <v>47</v>
      </c>
      <c r="B51" s="436" t="s">
        <v>195</v>
      </c>
      <c r="C51" s="436"/>
      <c r="D51" s="436"/>
      <c r="E51" s="436"/>
      <c r="F51" s="436"/>
      <c r="G51" s="436"/>
    </row>
    <row r="52" spans="1:7" ht="15.75">
      <c r="A52" s="6" t="s">
        <v>13</v>
      </c>
      <c r="B52" s="6" t="s">
        <v>196</v>
      </c>
      <c r="C52" s="6" t="s">
        <v>197</v>
      </c>
      <c r="D52" s="6" t="s">
        <v>198</v>
      </c>
      <c r="E52" s="6" t="s">
        <v>19</v>
      </c>
      <c r="F52" s="6" t="s">
        <v>20</v>
      </c>
      <c r="G52" s="6" t="s">
        <v>21</v>
      </c>
    </row>
    <row r="53" spans="1:7" ht="15.75" customHeight="1">
      <c r="A53" s="6">
        <v>1</v>
      </c>
      <c r="B53" s="6">
        <v>2</v>
      </c>
      <c r="C53" s="6">
        <v>3</v>
      </c>
      <c r="D53" s="6">
        <v>4</v>
      </c>
      <c r="E53" s="6">
        <v>5</v>
      </c>
      <c r="F53" s="6">
        <v>6</v>
      </c>
      <c r="G53" s="6">
        <v>7</v>
      </c>
    </row>
    <row r="54" spans="1:8" ht="43.5" customHeight="1">
      <c r="A54" s="6"/>
      <c r="B54" s="490" t="s">
        <v>687</v>
      </c>
      <c r="C54" s="491"/>
      <c r="D54" s="491"/>
      <c r="E54" s="491"/>
      <c r="F54" s="491"/>
      <c r="G54" s="492"/>
      <c r="H54" s="89"/>
    </row>
    <row r="55" spans="1:7" ht="15.75">
      <c r="A55" s="6">
        <v>1</v>
      </c>
      <c r="B55" s="17" t="s">
        <v>199</v>
      </c>
      <c r="C55" s="6"/>
      <c r="D55" s="6"/>
      <c r="E55" s="6"/>
      <c r="F55" s="6"/>
      <c r="G55" s="6"/>
    </row>
    <row r="56" spans="1:7" ht="16.5" customHeight="1">
      <c r="A56" s="6"/>
      <c r="B56" s="7" t="s">
        <v>688</v>
      </c>
      <c r="C56" s="6" t="s">
        <v>79</v>
      </c>
      <c r="D56" s="417" t="s">
        <v>689</v>
      </c>
      <c r="E56" s="13">
        <v>0</v>
      </c>
      <c r="F56" s="13">
        <v>43173</v>
      </c>
      <c r="G56" s="13">
        <f>E56+F56</f>
        <v>43173</v>
      </c>
    </row>
    <row r="57" spans="1:7" ht="35.25" customHeight="1">
      <c r="A57" s="6">
        <v>2</v>
      </c>
      <c r="B57" s="17" t="s">
        <v>200</v>
      </c>
      <c r="C57" s="6"/>
      <c r="D57" s="6"/>
      <c r="E57" s="83"/>
      <c r="F57" s="83"/>
      <c r="G57" s="83"/>
    </row>
    <row r="58" spans="1:7" ht="15.75" customHeight="1">
      <c r="A58" s="6"/>
      <c r="B58" s="7" t="s">
        <v>690</v>
      </c>
      <c r="C58" s="6" t="s">
        <v>66</v>
      </c>
      <c r="D58" s="6" t="s">
        <v>691</v>
      </c>
      <c r="E58" s="13">
        <v>0</v>
      </c>
      <c r="F58" s="13">
        <v>1</v>
      </c>
      <c r="G58" s="13">
        <f>E58+F58</f>
        <v>1</v>
      </c>
    </row>
    <row r="59" spans="1:7" ht="20.25" customHeight="1">
      <c r="A59" s="6">
        <v>3</v>
      </c>
      <c r="B59" s="17" t="s">
        <v>201</v>
      </c>
      <c r="C59" s="6"/>
      <c r="D59" s="6"/>
      <c r="E59" s="83"/>
      <c r="F59" s="83"/>
      <c r="G59" s="83"/>
    </row>
    <row r="60" spans="1:7" ht="31.5">
      <c r="A60" s="6"/>
      <c r="B60" s="7" t="s">
        <v>692</v>
      </c>
      <c r="C60" s="6" t="s">
        <v>79</v>
      </c>
      <c r="D60" s="6" t="s">
        <v>70</v>
      </c>
      <c r="E60" s="13">
        <v>0</v>
      </c>
      <c r="F60" s="13">
        <f>F56/F58</f>
        <v>43173</v>
      </c>
      <c r="G60" s="13">
        <f>E60+F60</f>
        <v>43173</v>
      </c>
    </row>
    <row r="61" spans="1:7" ht="16.5" customHeight="1">
      <c r="A61" s="6">
        <v>4</v>
      </c>
      <c r="B61" s="17" t="s">
        <v>202</v>
      </c>
      <c r="C61" s="6"/>
      <c r="D61" s="6"/>
      <c r="E61" s="83"/>
      <c r="F61" s="83"/>
      <c r="G61" s="83"/>
    </row>
    <row r="62" spans="1:7" ht="15.75" customHeight="1" hidden="1">
      <c r="A62" s="6"/>
      <c r="B62" s="114" t="s">
        <v>693</v>
      </c>
      <c r="C62" s="6" t="s">
        <v>71</v>
      </c>
      <c r="D62" s="6" t="s">
        <v>70</v>
      </c>
      <c r="E62" s="13">
        <v>0</v>
      </c>
      <c r="F62" s="13">
        <v>100</v>
      </c>
      <c r="G62" s="13">
        <f>E62</f>
        <v>0</v>
      </c>
    </row>
    <row r="63" spans="1:7" ht="15.75" customHeight="1" hidden="1">
      <c r="A63" s="6"/>
      <c r="B63" s="516" t="s">
        <v>24</v>
      </c>
      <c r="C63" s="516"/>
      <c r="D63" s="516"/>
      <c r="E63" s="516"/>
      <c r="F63" s="516"/>
      <c r="G63" s="516"/>
    </row>
    <row r="64" spans="1:7" ht="15.75" customHeight="1" hidden="1">
      <c r="A64" s="6">
        <v>1</v>
      </c>
      <c r="B64" s="17" t="s">
        <v>199</v>
      </c>
      <c r="C64" s="6"/>
      <c r="D64" s="6"/>
      <c r="E64" s="6"/>
      <c r="F64" s="6"/>
      <c r="G64" s="6"/>
    </row>
    <row r="65" spans="1:7" ht="15.75" customHeight="1" hidden="1">
      <c r="A65" s="6"/>
      <c r="B65" s="7" t="s">
        <v>124</v>
      </c>
      <c r="C65" s="6" t="s">
        <v>79</v>
      </c>
      <c r="D65" s="6" t="s">
        <v>278</v>
      </c>
      <c r="E65" s="13">
        <v>1000000</v>
      </c>
      <c r="F65" s="13" t="s">
        <v>109</v>
      </c>
      <c r="G65" s="13">
        <f>E65</f>
        <v>1000000</v>
      </c>
    </row>
    <row r="66" spans="1:7" ht="30.75" customHeight="1" hidden="1">
      <c r="A66" s="6"/>
      <c r="B66" s="7" t="s">
        <v>274</v>
      </c>
      <c r="C66" s="6" t="s">
        <v>79</v>
      </c>
      <c r="D66" s="6" t="s">
        <v>278</v>
      </c>
      <c r="E66" s="13">
        <v>77434</v>
      </c>
      <c r="F66" s="13" t="s">
        <v>109</v>
      </c>
      <c r="G66" s="13">
        <f>E66</f>
        <v>77434</v>
      </c>
    </row>
    <row r="67" spans="1:7" ht="15.75" customHeight="1" hidden="1">
      <c r="A67" s="6">
        <v>2</v>
      </c>
      <c r="B67" s="17" t="s">
        <v>200</v>
      </c>
      <c r="C67" s="6"/>
      <c r="D67" s="6"/>
      <c r="E67" s="83"/>
      <c r="F67" s="83" t="s">
        <v>109</v>
      </c>
      <c r="G67" s="83"/>
    </row>
    <row r="68" spans="1:7" ht="15.75" customHeight="1" hidden="1">
      <c r="A68" s="6"/>
      <c r="B68" s="7" t="s">
        <v>275</v>
      </c>
      <c r="C68" s="6" t="s">
        <v>64</v>
      </c>
      <c r="D68" s="6" t="s">
        <v>278</v>
      </c>
      <c r="E68" s="13">
        <v>9737</v>
      </c>
      <c r="F68" s="83" t="s">
        <v>109</v>
      </c>
      <c r="G68" s="13">
        <f>E68</f>
        <v>9737</v>
      </c>
    </row>
    <row r="69" spans="1:7" ht="15.75" customHeight="1" hidden="1">
      <c r="A69" s="6"/>
      <c r="B69" s="7" t="s">
        <v>276</v>
      </c>
      <c r="C69" s="6" t="s">
        <v>64</v>
      </c>
      <c r="D69" s="6" t="s">
        <v>278</v>
      </c>
      <c r="E69" s="13">
        <v>38</v>
      </c>
      <c r="F69" s="83"/>
      <c r="G69" s="13">
        <f>E69</f>
        <v>38</v>
      </c>
    </row>
    <row r="70" spans="1:7" ht="15.75" customHeight="1" hidden="1">
      <c r="A70" s="6">
        <v>3</v>
      </c>
      <c r="B70" s="17" t="s">
        <v>201</v>
      </c>
      <c r="C70" s="6"/>
      <c r="D70" s="6"/>
      <c r="E70" s="83"/>
      <c r="F70" s="83" t="s">
        <v>109</v>
      </c>
      <c r="G70" s="83"/>
    </row>
    <row r="71" spans="1:7" ht="31.5">
      <c r="A71" s="6"/>
      <c r="B71" s="114" t="s">
        <v>277</v>
      </c>
      <c r="C71" s="6" t="s">
        <v>71</v>
      </c>
      <c r="D71" s="6" t="s">
        <v>70</v>
      </c>
      <c r="E71" s="13"/>
      <c r="F71" s="13">
        <v>100</v>
      </c>
      <c r="G71" s="13">
        <f>E71</f>
        <v>0</v>
      </c>
    </row>
    <row r="72" spans="1:7" ht="15.75">
      <c r="A72" s="16"/>
      <c r="B72" s="418"/>
      <c r="C72" s="16"/>
      <c r="D72" s="16"/>
      <c r="E72" s="16"/>
      <c r="F72" s="16"/>
      <c r="G72" s="16"/>
    </row>
    <row r="73" spans="1:7" ht="15.75">
      <c r="A73" s="3" t="s">
        <v>73</v>
      </c>
      <c r="B73" s="3"/>
      <c r="C73" s="3"/>
      <c r="D73" s="8"/>
      <c r="E73" s="75"/>
      <c r="F73" s="430" t="s">
        <v>74</v>
      </c>
      <c r="G73" s="430"/>
    </row>
    <row r="74" spans="1:7" ht="15">
      <c r="A74" s="85"/>
      <c r="B74" s="85"/>
      <c r="C74" s="85"/>
      <c r="D74" s="5" t="s">
        <v>203</v>
      </c>
      <c r="E74" s="86"/>
      <c r="F74" s="472" t="s">
        <v>75</v>
      </c>
      <c r="G74" s="473"/>
    </row>
    <row r="75" spans="1:7" ht="15.75">
      <c r="A75" s="474"/>
      <c r="B75" s="474"/>
      <c r="C75" s="85"/>
      <c r="D75" s="2"/>
      <c r="E75" s="85"/>
      <c r="F75" s="85"/>
      <c r="G75" s="85"/>
    </row>
    <row r="76" spans="1:7" ht="15.75">
      <c r="A76" s="433" t="s">
        <v>204</v>
      </c>
      <c r="B76" s="433"/>
      <c r="C76" s="85"/>
      <c r="E76" s="85"/>
      <c r="F76" s="85"/>
      <c r="G76" s="85"/>
    </row>
    <row r="77" spans="1:7" ht="15.75">
      <c r="A77" s="3" t="s">
        <v>281</v>
      </c>
      <c r="B77" s="3"/>
      <c r="C77" s="3"/>
      <c r="D77" s="8"/>
      <c r="E77" s="75"/>
      <c r="F77" s="430" t="s">
        <v>76</v>
      </c>
      <c r="G77" s="430"/>
    </row>
    <row r="78" spans="1:7" ht="15.75">
      <c r="A78" s="3" t="s">
        <v>286</v>
      </c>
      <c r="B78" s="3"/>
      <c r="C78" s="85"/>
      <c r="D78" s="5" t="s">
        <v>203</v>
      </c>
      <c r="E78" s="5"/>
      <c r="F78" s="431" t="s">
        <v>75</v>
      </c>
      <c r="G78" s="432"/>
    </row>
    <row r="79" spans="1:7" ht="15.75">
      <c r="A79" s="3"/>
      <c r="B79" s="3"/>
      <c r="C79" s="85"/>
      <c r="D79" s="5"/>
      <c r="E79" s="5"/>
      <c r="F79" s="97"/>
      <c r="G79" s="408"/>
    </row>
    <row r="80" spans="1:7" ht="15.75">
      <c r="A80" s="1"/>
      <c r="B80" s="91" t="s">
        <v>161</v>
      </c>
      <c r="C80" s="2"/>
      <c r="F80" s="475"/>
      <c r="G80" s="475"/>
    </row>
    <row r="81" ht="15">
      <c r="B81" s="92" t="s">
        <v>162</v>
      </c>
    </row>
    <row r="82" ht="15">
      <c r="B82" s="23" t="s">
        <v>163</v>
      </c>
    </row>
  </sheetData>
  <sheetProtection/>
  <mergeCells count="42">
    <mergeCell ref="A76:B76"/>
    <mergeCell ref="F77:G77"/>
    <mergeCell ref="F80:G80"/>
    <mergeCell ref="B54:G54"/>
    <mergeCell ref="B63:G63"/>
    <mergeCell ref="F78:G78"/>
    <mergeCell ref="A75:B75"/>
    <mergeCell ref="A42:B42"/>
    <mergeCell ref="A44:A45"/>
    <mergeCell ref="B44:G44"/>
    <mergeCell ref="B51:G51"/>
    <mergeCell ref="F73:G73"/>
    <mergeCell ref="F74:G74"/>
    <mergeCell ref="B32:D32"/>
    <mergeCell ref="B34:G34"/>
    <mergeCell ref="B35:G35"/>
    <mergeCell ref="B37:G37"/>
    <mergeCell ref="A37:A38"/>
    <mergeCell ref="B24:G24"/>
    <mergeCell ref="B25:G25"/>
    <mergeCell ref="B27:G27"/>
    <mergeCell ref="B28:G28"/>
    <mergeCell ref="B29:G29"/>
    <mergeCell ref="B31:G31"/>
    <mergeCell ref="E17:F17"/>
    <mergeCell ref="B19:G19"/>
    <mergeCell ref="B20:G20"/>
    <mergeCell ref="B21:G21"/>
    <mergeCell ref="B22:G22"/>
    <mergeCell ref="B23:G23"/>
    <mergeCell ref="A10:G10"/>
    <mergeCell ref="D12:F12"/>
    <mergeCell ref="D13:E13"/>
    <mergeCell ref="D14:F14"/>
    <mergeCell ref="D15:E15"/>
    <mergeCell ref="E16:F16"/>
    <mergeCell ref="E1:G1"/>
    <mergeCell ref="E4:G4"/>
    <mergeCell ref="E5:G5"/>
    <mergeCell ref="E6:G6"/>
    <mergeCell ref="E7:G7"/>
    <mergeCell ref="A9:G9"/>
  </mergeCells>
  <printOptions horizontalCentered="1" verticalCentered="1"/>
  <pageMargins left="0.1968503937007874" right="0.15748031496062992" top="1.1811023622047245" bottom="0.2755905511811024" header="0.31496062992125984" footer="0.31496062992125984"/>
  <pageSetup fitToHeight="3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2020-11-10T07:54:20Z</cp:lastPrinted>
  <dcterms:created xsi:type="dcterms:W3CDTF">2018-12-28T08:43:53Z</dcterms:created>
  <dcterms:modified xsi:type="dcterms:W3CDTF">2020-11-10T09:13:30Z</dcterms:modified>
  <cp:category/>
  <cp:version/>
  <cp:contentType/>
  <cp:contentStatus/>
</cp:coreProperties>
</file>