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5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Z_8F41914C_4EB2_44E9_9D7B_A99A47D00787_.wvu.Cols" localSheetId="2" hidden="1">'дод.3'!$C:$C</definedName>
    <definedName name="Z_8F41914C_4EB2_44E9_9D7B_A99A47D00787_.wvu.Cols" localSheetId="3" hidden="1">'дод.4'!$C:$C</definedName>
    <definedName name="Z_8F41914C_4EB2_44E9_9D7B_A99A47D00787_.wvu.PrintArea" localSheetId="0" hidden="1">'дод.1'!$A$1:$F$100</definedName>
    <definedName name="Z_8F41914C_4EB2_44E9_9D7B_A99A47D00787_.wvu.PrintArea" localSheetId="2" hidden="1">'дод.3'!$A$1:$Q$173</definedName>
    <definedName name="Z_DF8DB4BE_D612_4398_B97D_23F609A32D15_.wvu.PrintArea" localSheetId="0" hidden="1">'дод.1'!$A$1:$F$66</definedName>
    <definedName name="Z_DF8DB4BE_D612_4398_B97D_23F609A32D15_.wvu.PrintArea" localSheetId="1" hidden="1">'дод.2'!$A$1:$F$13</definedName>
    <definedName name="Z_DF8DB4BE_D612_4398_B97D_23F609A32D15_.wvu.PrintArea" localSheetId="2" hidden="1">'дод.3'!$A$1:$R$173</definedName>
    <definedName name="Z_EE36300E_EB0C_406D_A84B_C3DAFA5DB722_.wvu.PrintArea" localSheetId="0" hidden="1">'дод.1'!$A$1:$IS$100</definedName>
    <definedName name="_xlnm.Print_Area" localSheetId="0">'дод.1'!$A$1:$F$100</definedName>
    <definedName name="_xlnm.Print_Area" localSheetId="1">'дод.2'!$A$1:$F$21</definedName>
    <definedName name="_xlnm.Print_Area" localSheetId="2">'дод.3'!$A$1:$Q$174</definedName>
    <definedName name="_xlnm.Print_Area" localSheetId="5">'дод.6'!$B$1:$G$38</definedName>
  </definedNames>
  <calcPr fullCalcOnLoad="1"/>
</workbook>
</file>

<file path=xl/sharedStrings.xml><?xml version="1.0" encoding="utf-8"?>
<sst xmlns="http://schemas.openxmlformats.org/spreadsheetml/2006/main" count="1416" uniqueCount="667">
  <si>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</si>
  <si>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</si>
  <si>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</si>
  <si>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</si>
  <si>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</si>
  <si>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</si>
  <si>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</si>
  <si>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</si>
  <si>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</si>
  <si>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</si>
  <si>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</si>
  <si>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</si>
  <si>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</si>
  <si>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</si>
  <si>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</si>
  <si>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</si>
  <si>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</si>
  <si>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</si>
  <si>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</si>
  <si>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</si>
  <si>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</si>
  <si>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</si>
  <si>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</si>
  <si>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</si>
  <si>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</si>
  <si>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</si>
  <si>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</si>
  <si>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</si>
  <si>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</si>
  <si>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</si>
  <si>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</si>
  <si>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</si>
  <si>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</si>
  <si>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</si>
  <si>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</si>
  <si>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</si>
  <si>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010116</t>
  </si>
  <si>
    <t>бюджет розвитку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</si>
  <si>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</si>
  <si>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</si>
  <si>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</si>
  <si>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</si>
  <si>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0490</t>
  </si>
  <si>
    <t>Місцеві податки</t>
  </si>
  <si>
    <t>Код тимчасової класифікації видатків та кредитування місцевого бюджету</t>
  </si>
  <si>
    <t>Секретар міської ради</t>
  </si>
  <si>
    <t>Утримання закладів, що надають соціальні послуги дітям, які опинились в складних життєвих обставинах</t>
  </si>
  <si>
    <t>Резервний   фонд</t>
  </si>
  <si>
    <t>0950</t>
  </si>
  <si>
    <t>0731</t>
  </si>
  <si>
    <t>1090</t>
  </si>
  <si>
    <t>1040</t>
  </si>
  <si>
    <t>0620</t>
  </si>
  <si>
    <t>0830</t>
  </si>
  <si>
    <t>0320</t>
  </si>
  <si>
    <t>0133</t>
  </si>
  <si>
    <t>070702</t>
  </si>
  <si>
    <t>080101</t>
  </si>
  <si>
    <t>080800</t>
  </si>
  <si>
    <t>090412</t>
  </si>
  <si>
    <t>090700</t>
  </si>
  <si>
    <t>грн.</t>
  </si>
  <si>
    <t>0910</t>
  </si>
  <si>
    <t>0921</t>
  </si>
  <si>
    <t>0960</t>
  </si>
  <si>
    <t>0990</t>
  </si>
  <si>
    <t>091101</t>
  </si>
  <si>
    <t>0810</t>
  </si>
  <si>
    <t>070303</t>
  </si>
  <si>
    <t>1030</t>
  </si>
  <si>
    <t>1070</t>
  </si>
  <si>
    <t>1010</t>
  </si>
  <si>
    <t>1020</t>
  </si>
  <si>
    <t>090405</t>
  </si>
  <si>
    <t>090406</t>
  </si>
  <si>
    <t>090302</t>
  </si>
  <si>
    <t>090304</t>
  </si>
  <si>
    <t>090305</t>
  </si>
  <si>
    <t>090306</t>
  </si>
  <si>
    <t>090307</t>
  </si>
  <si>
    <t>090308</t>
  </si>
  <si>
    <t>091204</t>
  </si>
  <si>
    <t>091206</t>
  </si>
  <si>
    <t>091207</t>
  </si>
  <si>
    <t>091209</t>
  </si>
  <si>
    <t>0824</t>
  </si>
  <si>
    <t>0828</t>
  </si>
  <si>
    <t>0829</t>
  </si>
  <si>
    <t>На кінець періоду</t>
  </si>
  <si>
    <t>Кошти, що передаються із загального фонду бюджету до бюджету розвитку (спеціального фонду)</t>
  </si>
  <si>
    <t>0180</t>
  </si>
  <si>
    <t>Податок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</si>
  <si>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</si>
  <si>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</si>
  <si>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Податок на майно</t>
  </si>
  <si>
    <t>Єдиний податок</t>
  </si>
  <si>
    <t>Адміністративні штрафи та інші санкції</t>
  </si>
  <si>
    <t>Державне мито </t>
  </si>
  <si>
    <t>Інші  надходження</t>
  </si>
  <si>
    <t>Екологічний збір</t>
  </si>
  <si>
    <t>090413</t>
  </si>
  <si>
    <t>Туристичний збір</t>
  </si>
  <si>
    <t>Код програмної класифікації видатків та кредитування місцевого бюджету</t>
  </si>
  <si>
    <t>Плата за надання інших адміністративних послуг</t>
  </si>
  <si>
    <t>Інші заходи,пов'язані з економічною діяльністю</t>
  </si>
  <si>
    <t>Надходження коштів пайової участі у розвитку інфраструктури населеного пункту</t>
  </si>
  <si>
    <t>0540</t>
  </si>
  <si>
    <t>100202</t>
  </si>
  <si>
    <t>1050</t>
  </si>
  <si>
    <t>Організація та проведення громадських робіт</t>
  </si>
  <si>
    <t>090501</t>
  </si>
  <si>
    <t xml:space="preserve">Адміністративний     збір  за державну    реєстрацію речових прав на нерухоме   майно та їх обтяжень  </t>
  </si>
  <si>
    <t>Находження від орендної плати за користування цілісним майновим комплексом та іншим майном,що перебуває в комунальній власності 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</si>
  <si>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</si>
  <si>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</si>
  <si>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</si>
  <si>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за пільговий проїзд окремих категорій громадян на залізничному транспорті 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</si>
  <si>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</si>
  <si>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</si>
  <si>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</si>
  <si>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</si>
  <si>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</si>
  <si>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060702</t>
  </si>
  <si>
    <t>1150</t>
  </si>
  <si>
    <t>2010</t>
  </si>
  <si>
    <t>Багатопрофільна стаціонарна медична допомога населенню</t>
  </si>
  <si>
    <t>Заклади і заходи з питань дітей та їх соціального захисту</t>
  </si>
  <si>
    <t>3111</t>
  </si>
  <si>
    <t>6010</t>
  </si>
  <si>
    <t>3110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</si>
  <si>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</si>
  <si>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</si>
  <si>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 за рахунок коштів на оздоровлення громадян, які постраждали внаслідок Чорнобильської катастрофи)</t>
  </si>
  <si>
    <t>Здійснення соціальної роботи з вразливими категоріями населення</t>
  </si>
  <si>
    <t>Проведення спортивної роботи в регіоні</t>
  </si>
  <si>
    <t>Проведення навчально-тренувальних зборів і змагань з олімпійських видів спорту </t>
  </si>
  <si>
    <t>Утримання та навчально-тренувальна робота комунальних дитячо-юнацьких спортивних шкіл 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</si>
  <si>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</si>
  <si>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</si>
  <si>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090214</t>
  </si>
  <si>
    <t>Надання пільг окремим категоріям громадян з оплати послуг зв`язку</t>
  </si>
  <si>
    <t>Надання допомоги при народженні дитини</t>
  </si>
  <si>
    <t>Надання допомоги на дітей,над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</si>
  <si>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</si>
  <si>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</si>
  <si>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</si>
  <si>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 xml:space="preserve">Надання державної соціальної допомоги малозабезпеченим сім'ям </t>
  </si>
  <si>
    <t>Забезпечення соціальними послугами за місцем проживання громадян, які не здатні до самообслуговування у зв*язку з похилим віком, хворобою, інвалідністю</t>
  </si>
  <si>
    <t>Соціальний захист ветеранів війни та праці</t>
  </si>
  <si>
    <t>Інші розрахунки</t>
  </si>
  <si>
    <t>Програма реалізації іміджевої діяльності Лиманської міської ради на 2017-2020 роки</t>
  </si>
  <si>
    <t xml:space="preserve"> </t>
  </si>
  <si>
    <t>1160</t>
  </si>
  <si>
    <t>Інші заходи та заклади молодіжної політики</t>
  </si>
  <si>
    <t>Розвиток дитячо-юнацького та резервного спорту</t>
  </si>
  <si>
    <t xml:space="preserve">Начальник фінансового управління </t>
  </si>
  <si>
    <t>Т.В.Пилипенко</t>
  </si>
  <si>
    <t xml:space="preserve">Т.Ю.Каракуц </t>
  </si>
  <si>
    <t xml:space="preserve">               Т.В.Пилипенко</t>
  </si>
  <si>
    <t xml:space="preserve">                Т.Ю.Каракуц 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</si>
  <si>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</si>
  <si>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Плата за розміщення тимчасово вільних коштів місцевих бюджетів</t>
  </si>
  <si>
    <t>250301</t>
  </si>
  <si>
    <t xml:space="preserve">Реверсна дотація </t>
  </si>
  <si>
    <t>Додаток № 3
до рішення міської ради
"Про  бюджет об’єднаної  територіальної громади   на 2018 рік"</t>
  </si>
  <si>
    <t>Фінансування  бюджету об’єднаної  територіальної громади   на 2018 рік</t>
  </si>
  <si>
    <t>Доходи  бюджету об’єднаної  територіальної громади на 2018 рік</t>
  </si>
  <si>
    <t xml:space="preserve">Перелік місцевих (регіональних) програм, які фінансуватимуться за рахунок коштів
 бюджету об`єднаної територіальної громади у 2018 році
</t>
  </si>
  <si>
    <t>Додаток №4
до рішення міської ради
"Про  бюджет  об’єднаної  територіальної громади  на 2018 рік"</t>
  </si>
  <si>
    <t>Додаток № 2
до рішення  міської ради
"Про  бюджет об’єднаної  територіальної громади   на 2018 рік"</t>
  </si>
  <si>
    <r>
      <t>Виконавчий комітет Лиманської  міської ради</t>
    </r>
    <r>
      <rPr>
        <i/>
        <sz val="11"/>
        <rFont val="Times New Roman"/>
        <family val="1"/>
      </rPr>
      <t xml:space="preserve"> (головний розпорядник)</t>
    </r>
  </si>
  <si>
    <r>
      <t xml:space="preserve">Виконавчий комітет Лиманської міської ради </t>
    </r>
    <r>
      <rPr>
        <i/>
        <sz val="11"/>
        <rFont val="Times New Roman"/>
        <family val="1"/>
      </rPr>
      <t>(відповідальний виконавець)</t>
    </r>
  </si>
  <si>
    <r>
      <t xml:space="preserve">Управління освіти, молоді та спорту Лиманської міської ради 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</si>
  <si>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Управління  соціального захисту населення Лиманської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</si>
  <si>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Управління  соціального захисту населення  Лиманської міської ради </t>
    </r>
    <r>
      <rPr>
        <i/>
        <sz val="11"/>
        <rFont val="Times New Roman"/>
        <family val="1"/>
      </rPr>
      <t>(відповідальний виконавець)</t>
    </r>
  </si>
  <si>
    <r>
      <t xml:space="preserve">Служба у справах дітей Лиманської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</si>
  <si>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Служба у справах дітей  Лиманської міської ради </t>
    </r>
    <r>
      <rPr>
        <i/>
        <sz val="11"/>
        <rFont val="Times New Roman"/>
        <family val="1"/>
      </rPr>
      <t>(відповідальний виконавець)</t>
    </r>
  </si>
  <si>
    <r>
      <t xml:space="preserve">Відділ культури і туризму  Лиманської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</si>
  <si>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 і туризму Лиманської  міської ради </t>
    </r>
    <r>
      <rPr>
        <i/>
        <sz val="11"/>
        <rFont val="Times New Roman"/>
        <family val="1"/>
      </rPr>
      <t xml:space="preserve"> (відповідальний виконавець)</t>
    </r>
  </si>
  <si>
    <r>
      <t xml:space="preserve">Управління агропромислового розвитку  Лиманської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</si>
  <si>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Управління агропромислового розвитку Лиманської  міської ради </t>
    </r>
    <r>
      <rPr>
        <i/>
        <sz val="11"/>
        <rFont val="Times New Roman"/>
        <family val="1"/>
      </rPr>
      <t>(відповідальний виконавець)</t>
    </r>
  </si>
  <si>
    <r>
      <t>Фінансове управління Лиманської міської ради</t>
    </r>
    <r>
      <rPr>
        <i/>
        <sz val="11"/>
        <rFont val="Times New Roman"/>
        <family val="1"/>
      </rPr>
      <t xml:space="preserve"> (головний розпорядник)</t>
    </r>
  </si>
  <si>
    <r>
      <t xml:space="preserve">Фінансове управління  Лиманської міської ради </t>
    </r>
    <r>
      <rPr>
        <i/>
        <sz val="11"/>
        <rFont val="Times New Roman"/>
        <family val="1"/>
      </rPr>
      <t xml:space="preserve"> (відповідальний виконавець)</t>
    </r>
  </si>
  <si>
    <r>
      <t xml:space="preserve">Управління освіти, молоді та спорту Лиманської міської ради  міської ради </t>
    </r>
    <r>
      <rPr>
        <i/>
        <sz val="11"/>
        <rFont val="Times New Roman"/>
        <family val="1"/>
      </rPr>
      <t>(відповідальний виконавець)</t>
    </r>
  </si>
  <si>
    <t xml:space="preserve">Надання пільг на оплату житлово-комунальних послуг окремим категоріям громадян відповідно до законодавства 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</si>
  <si>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</si>
  <si>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</si>
  <si>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Інші субвенції з місцевого бюджету</t>
  </si>
  <si>
    <t>0200000</t>
  </si>
  <si>
    <t>0210000</t>
  </si>
  <si>
    <t>0600000</t>
  </si>
  <si>
    <t>0610160</t>
  </si>
  <si>
    <t>0800000</t>
  </si>
  <si>
    <t>0810000</t>
  </si>
  <si>
    <t>0810160</t>
  </si>
  <si>
    <t>0900000</t>
  </si>
  <si>
    <t>0910000</t>
  </si>
  <si>
    <t>0910160</t>
  </si>
  <si>
    <t>1000000</t>
  </si>
  <si>
    <t>1010000</t>
  </si>
  <si>
    <t>0210150</t>
  </si>
  <si>
    <t>0150</t>
  </si>
  <si>
    <t>0212010</t>
  </si>
  <si>
    <t>0212110</t>
  </si>
  <si>
    <t>Первинна медико-санітарна допомога населенню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</si>
  <si>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</si>
  <si>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</si>
  <si>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</si>
  <si>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</si>
  <si>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0813100</t>
  </si>
  <si>
    <t>0813104</t>
  </si>
  <si>
    <t>0813105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</si>
  <si>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</si>
  <si>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</si>
  <si>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0813180</t>
  </si>
  <si>
    <t>0813230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</si>
  <si>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</si>
  <si>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</si>
  <si>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</si>
  <si>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</si>
  <si>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</si>
  <si>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1014080</t>
  </si>
  <si>
    <t>Iншi заклади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</si>
  <si>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</si>
  <si>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0813040</t>
  </si>
  <si>
    <t>0813041</t>
  </si>
  <si>
    <t>0813043</t>
  </si>
  <si>
    <t>0813044</t>
  </si>
  <si>
    <t>0813045</t>
  </si>
  <si>
    <t>0813046</t>
  </si>
  <si>
    <t>0813047</t>
  </si>
  <si>
    <t>0813080</t>
  </si>
  <si>
    <t>Утримання та забезпечення діяльності центрів соціальних служб для сім’ї, дітей та молоді</t>
  </si>
  <si>
    <t>0813121</t>
  </si>
  <si>
    <t>0813120</t>
  </si>
  <si>
    <t>0613130</t>
  </si>
  <si>
    <t>Реалізація державної політики у молодіжній сфері</t>
  </si>
  <si>
    <t>0613133</t>
  </si>
  <si>
    <t>0615010</t>
  </si>
  <si>
    <t>0615011</t>
  </si>
  <si>
    <t>0615012</t>
  </si>
  <si>
    <t>0615030</t>
  </si>
  <si>
    <t>0615031</t>
  </si>
  <si>
    <t>0611010</t>
  </si>
  <si>
    <t>Надання дошкільної освіти</t>
  </si>
  <si>
    <t>0611020</t>
  </si>
  <si>
    <t>Підвищення  кваліфікації, перепідготовка кадрів  закладами післядипломної освіти</t>
  </si>
  <si>
    <t>0611140</t>
  </si>
  <si>
    <t>1140</t>
  </si>
  <si>
    <t>Методичне забезпечення діяльності навчальних закладів</t>
  </si>
  <si>
    <t>0611150</t>
  </si>
  <si>
    <t>0611090</t>
  </si>
  <si>
    <t>0611160</t>
  </si>
  <si>
    <t>Інші програми,заклади та заходи у сфері освіти</t>
  </si>
  <si>
    <t>Податок на доходи фізичних осіб, що сплачується податковими агентами, із доходів платника податків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</si>
  <si>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</si>
  <si>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</si>
  <si>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</si>
  <si>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164,2 статті 164 Податкового кодексу</t>
  </si>
  <si>
    <t>Податок на прибуток підприємств та фінансових установ комунальної власності</t>
  </si>
  <si>
    <r>
      <t>А</t>
    </r>
    <r>
      <rPr>
        <i/>
        <sz val="13"/>
        <rFont val="Times New Roman"/>
        <family val="1"/>
      </rPr>
      <t>кцизний податок з виробленого в Україні пального</t>
    </r>
  </si>
  <si>
    <r>
      <t>А</t>
    </r>
    <r>
      <rPr>
        <i/>
        <sz val="13"/>
        <rFont val="Times New Roman"/>
        <family val="1"/>
      </rPr>
      <t>кцизний податок з ввезеного на митну територію України пального</t>
    </r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</si>
  <si>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</si>
  <si>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</si>
  <si>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</si>
  <si>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</si>
  <si>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</si>
  <si>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</si>
  <si>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</si>
  <si>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</si>
  <si>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</si>
  <si>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18030100 </t>
  </si>
  <si>
    <t>Туристичний збір, сплачений юридичними особами </t>
  </si>
  <si>
    <t>18030200 </t>
  </si>
  <si>
    <t>Туристичний збір, сплачений фізичними особами </t>
  </si>
  <si>
    <t>18050300 </t>
  </si>
  <si>
    <t>Єдиний податок з юридичних осіб </t>
  </si>
  <si>
    <t>18050400 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</si>
  <si>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</si>
  <si>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</si>
  <si>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</si>
  <si>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</si>
  <si>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</si>
  <si>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</si>
  <si>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</si>
  <si>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</si>
  <si>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</si>
  <si>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</si>
  <si>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</si>
  <si>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</si>
  <si>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</si>
  <si>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0813010</t>
  </si>
  <si>
    <t>0813011</t>
  </si>
  <si>
    <t>090201-090215</t>
  </si>
  <si>
    <t>0813012</t>
  </si>
  <si>
    <t>0813020</t>
  </si>
  <si>
    <t>090202-090216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</si>
  <si>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</si>
  <si>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</si>
  <si>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0813030</t>
  </si>
  <si>
    <t>0813031</t>
  </si>
  <si>
    <t>090203, 090209</t>
  </si>
  <si>
    <t xml:space="preserve">Надання інших пільг окремим категоріям громадян відповідно до законодавства </t>
  </si>
  <si>
    <t>0813032</t>
  </si>
  <si>
    <t>0813033</t>
  </si>
  <si>
    <t>0813035</t>
  </si>
  <si>
    <t>1011100</t>
  </si>
  <si>
    <t>Забезпечення діяльності місцевої пожежної охорони</t>
  </si>
  <si>
    <t>070804-070806</t>
  </si>
  <si>
    <t>0613030</t>
  </si>
  <si>
    <t>0216010</t>
  </si>
  <si>
    <t>Утримання та ефективна експлуатація об'єктів житлово-комунального господарства</t>
  </si>
  <si>
    <t>0216013</t>
  </si>
  <si>
    <t>6013</t>
  </si>
  <si>
    <t>Забезпечення діяльності водопровідно-каналізаційного господарства</t>
  </si>
  <si>
    <t>0216030</t>
  </si>
  <si>
    <t>6030</t>
  </si>
  <si>
    <t>Реалізація інших заходів щодо соціально -  економічного розвитку територій</t>
  </si>
  <si>
    <t>0217693</t>
  </si>
  <si>
    <t>7693</t>
  </si>
  <si>
    <t>0218120</t>
  </si>
  <si>
    <t>8120</t>
  </si>
  <si>
    <t>0218130</t>
  </si>
  <si>
    <t>8130</t>
  </si>
  <si>
    <t>Заходи з організації рятування на водах</t>
  </si>
  <si>
    <t>0217460</t>
  </si>
  <si>
    <t>7460</t>
  </si>
  <si>
    <t>170703</t>
  </si>
  <si>
    <t>Утримання та розвиток автомобільних доріг та дорожньої інфраструктури</t>
  </si>
  <si>
    <t>0217461</t>
  </si>
  <si>
    <t>7461</t>
  </si>
  <si>
    <t xml:space="preserve">Утримання та розвиток автомобільних доріг та дорожньої інфраструктури за рахунок коштів місцевого бюджету </t>
  </si>
  <si>
    <t>0218410</t>
  </si>
  <si>
    <t>8410</t>
  </si>
  <si>
    <t>Фінансова підтримка засобів масової інформації</t>
  </si>
  <si>
    <t>0217680</t>
  </si>
  <si>
    <t>7680</t>
  </si>
  <si>
    <t>Членські внески до асоціацій органів місцевого самоврядування</t>
  </si>
  <si>
    <t>0913110</t>
  </si>
  <si>
    <t>0913111</t>
  </si>
  <si>
    <t>0813021</t>
  </si>
  <si>
    <t>0613033</t>
  </si>
  <si>
    <t>0216011</t>
  </si>
  <si>
    <t>6011</t>
  </si>
  <si>
    <t>Експлуатація та технічне обслуговування житлового фонду</t>
  </si>
  <si>
    <t>Розподіл видатків  бюджету об’єднаної  територіальної громади   на 2018 рік  розроблено фінансовим управлінням міської ради</t>
  </si>
  <si>
    <t>Доходи  бюджету об’єднаної  територіальної громади на 2018 рік розроблено фінансовим управлінням міської ради</t>
  </si>
  <si>
    <t>Фінансування  бюджету об’єднаної  територіальної громади   на 2018 рік розроблено фінансовим управлінням міської ради</t>
  </si>
  <si>
    <t xml:space="preserve">Перелік місцевих (регіональних) програм, які фінансуватимуться за рахунок коштів бюджету об`єднаної територіальної громади у 2018 році розроблено фінансовим управлінням міської ради
</t>
  </si>
  <si>
    <t>110502, 110103</t>
  </si>
  <si>
    <t>0214080</t>
  </si>
  <si>
    <r>
      <t>РОЗПОДІЛ</t>
    </r>
    <r>
      <rPr>
        <b/>
        <sz val="14"/>
        <rFont val="Times New Roman"/>
        <family val="1"/>
      </rPr>
      <t xml:space="preserve">
видатків  бюджету об’єднаної  територіальної громади на 2018 рік </t>
    </r>
  </si>
  <si>
    <t>Програма "Підтримка засобів масової інформації комунального підприємства "Редакція газети "Зоря" на 2018 рік</t>
  </si>
  <si>
    <t>0610000</t>
  </si>
  <si>
    <t>0211140</t>
  </si>
  <si>
    <t>2110</t>
  </si>
  <si>
    <t>0456</t>
  </si>
  <si>
    <t>0217690</t>
  </si>
  <si>
    <t>7690</t>
  </si>
  <si>
    <t>Інша економічна діяльність</t>
  </si>
  <si>
    <t>8110</t>
  </si>
  <si>
    <t>0218110</t>
  </si>
  <si>
    <r>
      <t xml:space="preserve">Управління освіти, молоді та спорту Лиманської міської ради  </t>
    </r>
    <r>
      <rPr>
        <i/>
        <sz val="11"/>
        <rFont val="Times New Roman"/>
        <family val="1"/>
      </rPr>
      <t>(головний розпорядник)</t>
    </r>
  </si>
  <si>
    <r>
      <t xml:space="preserve">Управління освіти, молоді та спорту Лиманської міської ради </t>
    </r>
    <r>
      <rPr>
        <i/>
        <sz val="11"/>
        <rFont val="Times New Roman"/>
        <family val="1"/>
      </rPr>
      <t>(відповідальний виконавець)</t>
    </r>
  </si>
  <si>
    <t>Надання допомоги  у зв`язку з вагітністю і пологами</t>
  </si>
  <si>
    <t>1010160</t>
  </si>
  <si>
    <t>Програма розвитку місцевого самоврядування Лиманської об'єднаної територіальної громади</t>
  </si>
  <si>
    <t>Програма членства в Асоціації індустріальних парків України Лиманської міської ради на 2017-2020 роки</t>
  </si>
  <si>
    <t>1161</t>
  </si>
  <si>
    <t>Забезпечення діяльності інших закладів у сфері освіти</t>
  </si>
  <si>
    <t>Надання державної соціальної допомоги особам з інвалідністю з дитинства та дітям з інвалідністю</t>
  </si>
  <si>
    <t>Надання допомоги сім`ям з дітьми, малозабезпеченим сім`ям,особам з інвалідністю з дитинства та тимчасової допомоги дітям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</si>
  <si>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</si>
  <si>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</si>
  <si>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</si>
  <si>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</si>
  <si>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0813192</t>
  </si>
  <si>
    <t>3210</t>
  </si>
  <si>
    <t>0813210</t>
  </si>
  <si>
    <t>0813240</t>
  </si>
  <si>
    <t>Інші заходи у сфері соціального захисту і соціального забезпечення</t>
  </si>
  <si>
    <t>0813242</t>
  </si>
  <si>
    <t>0213240</t>
  </si>
  <si>
    <t>0213242</t>
  </si>
  <si>
    <t>0213210</t>
  </si>
  <si>
    <t>1014081</t>
  </si>
  <si>
    <t>1014082</t>
  </si>
  <si>
    <t>Заходи із запобігання та ліквідації надзвичайних ситуацій та наслідків стихійного лиха</t>
  </si>
  <si>
    <t>Iншi заходи в галузі культури і мистецтва</t>
  </si>
  <si>
    <t>0214082</t>
  </si>
  <si>
    <t>1162</t>
  </si>
  <si>
    <t>0611162</t>
  </si>
  <si>
    <t>0611161</t>
  </si>
  <si>
    <t>Інші програми та заходи у сфері освіти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</si>
  <si>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</si>
  <si>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</si>
  <si>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0613140</t>
  </si>
  <si>
    <t>Надання пільг та субсидій населенню на придбання твердого та рідкого пічного побутового палива і скрапленого газу</t>
  </si>
  <si>
    <t>091205</t>
  </si>
  <si>
    <t>Програма по проведенню технічної інвентаризації об'єктів комунальної власності територіальної громади на 2018 рік</t>
  </si>
  <si>
    <t>0217350</t>
  </si>
  <si>
    <t>0217130</t>
  </si>
  <si>
    <t>7350</t>
  </si>
  <si>
    <t>7130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</si>
  <si>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</si>
  <si>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</si>
  <si>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0421</t>
  </si>
  <si>
    <t>160101</t>
  </si>
  <si>
    <t>150202</t>
  </si>
  <si>
    <t>0443</t>
  </si>
  <si>
    <t>Додаток № 1
до рішення  міської ради
"Про  бюджет об’єднаної  територіальної громади   на 2018 рік"</t>
  </si>
  <si>
    <t>Спеціальний фонд всього</t>
  </si>
  <si>
    <t xml:space="preserve">Програма «Громадський бюджет Лиманської об’єднаної територіальної громади на 2017 - 2020 роки» </t>
  </si>
  <si>
    <t>0212140</t>
  </si>
  <si>
    <t>0212144</t>
  </si>
  <si>
    <t>2140</t>
  </si>
  <si>
    <t>2144</t>
  </si>
  <si>
    <t>0763</t>
  </si>
  <si>
    <t>0726</t>
  </si>
  <si>
    <t>Програми і централізовані заходи у галузі охорони здоров’я</t>
  </si>
  <si>
    <t>Централізовані заходи з лікування хворих на цукровий та нецукровий діабет</t>
  </si>
  <si>
    <t>0217370</t>
  </si>
  <si>
    <t>7370</t>
  </si>
  <si>
    <t>0813042</t>
  </si>
  <si>
    <t>0813081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</si>
  <si>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</si>
  <si>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</si>
  <si>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</si>
  <si>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</si>
  <si>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</si>
  <si>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</si>
  <si>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</si>
  <si>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</si>
  <si>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</si>
  <si>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</si>
  <si>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</si>
  <si>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психіатричного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</si>
  <si>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 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</si>
  <si>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</si>
  <si>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</si>
  <si>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0617321</t>
  </si>
  <si>
    <t>0617320</t>
  </si>
  <si>
    <t>Будівництво об`єктів соціально-культурного призначення</t>
  </si>
  <si>
    <t>Будівництво освітніх установ та закладів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</si>
  <si>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</si>
  <si>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</si>
  <si>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</si>
  <si>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</si>
  <si>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</si>
  <si>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Реконструкція відкритого спортивного майданчику зі штучним покриттям , розміром 38х20 метрів, на території Лиманського НВК "гімназія-загальноосвітній навчальний заклад І ступеню" за адресою: вул.Незалежності, 44, м.Лиман, Донецька область</t>
  </si>
  <si>
    <t>Перелік об’єктів, видатки на які у 2018  році будуть проводитися за рахунок коштів бюджету розвитку</t>
  </si>
  <si>
    <t>Додаток №5
до рішення міської ради
"Про  бюджет  об’єднаної  територіальної громади на 2018 рік"</t>
  </si>
  <si>
    <t>0617360</t>
  </si>
  <si>
    <t>0617361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</si>
  <si>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</si>
  <si>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</si>
  <si>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1017320</t>
  </si>
  <si>
    <t>1017324</t>
  </si>
  <si>
    <t>Будівництво установ та закладів культури</t>
  </si>
  <si>
    <t>Перелік об’єктів, видатки на які у 2018  році будуть проводитися за рахунок коштів бюджету розвитку розроблено фінансовим управлінням міської ради</t>
  </si>
  <si>
    <t>виконком</t>
  </si>
  <si>
    <t>УОМС</t>
  </si>
  <si>
    <t>УСЗН</t>
  </si>
  <si>
    <t>культура</t>
  </si>
  <si>
    <t>Ссд</t>
  </si>
  <si>
    <t>УАПР</t>
  </si>
  <si>
    <t>фінупр</t>
  </si>
  <si>
    <t>разом</t>
  </si>
  <si>
    <t>кошти передані</t>
  </si>
  <si>
    <t>1017321</t>
  </si>
  <si>
    <t>Реконструкція нежитлової будівлі, адміністративного корпусу під музичну школу з заходами термомодернизації та благоустрієм прибудинкової території, розташованої за адресою: Донецька область, м.Лиман, вул.Деповська, буд.2</t>
  </si>
  <si>
    <t>Реконструкція покрівлі СБК селища Нове відділу культури і туризму Лиманської міської ради</t>
  </si>
  <si>
    <t>1017360</t>
  </si>
  <si>
    <t>1017361</t>
  </si>
  <si>
    <t>0817320</t>
  </si>
  <si>
    <t>0817323</t>
  </si>
  <si>
    <t>Будівництво установ та закладів соціальної сфери</t>
  </si>
  <si>
    <t>Встановлення огорожі відділення стаціонарного догляду для постійного проживання Територіального центру м.Лиман, розташованого за адресою: с.Рубці, вул.Лісна, 1а</t>
  </si>
  <si>
    <t>Програма розвитку місцевого самоврядування Лиманської об'єднаної територіальної громади на 2017 - 2018 роки</t>
  </si>
  <si>
    <t>0216012</t>
  </si>
  <si>
    <t>6012</t>
  </si>
  <si>
    <t>Забезпечення діяльності з виробництва, транспортування, постачання теплової енергії</t>
  </si>
  <si>
    <t>разом кошти передані</t>
  </si>
  <si>
    <t>Організація благоустрою населених пунктів</t>
  </si>
  <si>
    <t>Додаток №6
до рішення міської ради
"Про  бюджет  об’єднаної  територіальної громади на 2018 рік"</t>
  </si>
  <si>
    <t xml:space="preserve">Назва об’єктів </t>
  </si>
  <si>
    <t>Реконструкція будівлі аптеки під діагностичний центр, розташований за адресою: вул. Гасієва (Чапаєва) 36а, м. Лиман, Донецької області</t>
  </si>
  <si>
    <t>Капітальний ремонт другого поверху та підвальних приміщень КЗ “Лиманський ЦПМСД ім. М.І. Лядукіна”</t>
  </si>
  <si>
    <t>Капітальний ремонт дороги комунальної власності Лиманської об’єднаної територіальної громади по вул. Одеська м. Лиман</t>
  </si>
  <si>
    <t>Капітальний ремонт дороги комунальної власності Лиманської об’єднаної територіальної громади по вул. Перемоги с. Зарічне</t>
  </si>
  <si>
    <t>Капітальний ремонт дороги комунальної власності Лиманської об’єднаної територіальної громади по вул. Поштова м. Лиман</t>
  </si>
  <si>
    <t>Капітальний ремонт тротуару м. Лиман, вул. Грушевського (Свердлова) (від вул. Пушкіна до вул. Свободи)</t>
  </si>
  <si>
    <t>Капітальний ремонт тротуару м. Лиман, вул. Пушкіна  (від магазина “Арбат 2” до вул. Соснова (Петровського)</t>
  </si>
  <si>
    <t>Капітальний ремонт водопровідних мереж с. Рубці Краснолиманського району Донецької області</t>
  </si>
  <si>
    <t>Капітальний ремонт системи водопроводу у селищі Нове Лиманського району (друга черга)</t>
  </si>
  <si>
    <t>Реконструкція котельні центра соціально-психологічної реабілітації дітей м. Лиман Донецької області, розташованої за адресою: вул. Свободи, 104, м. Лиман Донецької області</t>
  </si>
  <si>
    <t>Покращення якості та доступності надання адміністративних послуг шляхом придбання спеціального обладнання для центру надання адміністративних послуг виконавчого комітету Лиманської міської ради Донецької області</t>
  </si>
  <si>
    <t>Розбудова інженерно-транспортної інфраструктури Індустріального парку “Лиманський</t>
  </si>
  <si>
    <t>0917361</t>
  </si>
  <si>
    <t>0917360</t>
  </si>
  <si>
    <t xml:space="preserve">Обсяг фінансування </t>
  </si>
  <si>
    <t>0217360</t>
  </si>
  <si>
    <t>0217361</t>
  </si>
  <si>
    <r>
      <t>Виконавчий комітет Лиманської  міської ради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</si>
  <si>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Виконавчий комітет Лиманської міської ради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</si>
  <si>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освіти, молоді та спорту Лиманської міської ради  </t>
    </r>
    <r>
      <rPr>
        <b/>
        <i/>
        <sz val="12"/>
        <rFont val="Times New Roman"/>
        <family val="1"/>
      </rPr>
      <t>(головний розпорядник)</t>
    </r>
  </si>
  <si>
    <r>
      <t xml:space="preserve">Управління освіти, молоді та спорту Лиманської міської ради </t>
    </r>
    <r>
      <rPr>
        <b/>
        <i/>
        <sz val="12"/>
        <rFont val="Times New Roman"/>
        <family val="1"/>
      </rPr>
      <t>(відповідальний виконавець)</t>
    </r>
  </si>
  <si>
    <r>
      <t xml:space="preserve">Служба у справах дітей Лиманської міської ради </t>
    </r>
    <r>
      <rPr>
        <i/>
        <sz val="12"/>
        <rFont val="Times New Roman"/>
        <family val="1"/>
      </rPr>
      <t>(головний розпорядник)</t>
    </r>
  </si>
  <si>
    <r>
      <t xml:space="preserve">Служба у справах дітей  Лиманської міської ради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</si>
  <si>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культури і туризму  Лиманської міської ради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</si>
  <si>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культури і туризму Лиманської  міської ради </t>
    </r>
    <r>
      <rPr>
        <i/>
        <sz val="12"/>
        <rFont val="Times New Roman"/>
        <family val="1"/>
      </rPr>
      <t xml:space="preserve"> (відповідальний виконавець)</t>
    </r>
  </si>
  <si>
    <t>Т.Ю,Каракуц</t>
  </si>
  <si>
    <t>Перелік об'єктів , фінансування  яких у 2018  році буде здійснюватись за рахунок коштів  бюджету розвитку по КПКВКМБ 7361 "Співфінансування інвестиційних проектів, що реалізуються за рахунок коштів державного фонду регіонального розвитку"</t>
  </si>
  <si>
    <t xml:space="preserve">Перелік об'єктів , фінансування  яких у 2018  році буде здійснюватись за рахунок коштів  бюджету розвитку по КПКВКМБ 7361 "Співфінансування інвестиційних проектів, що реалізуються за рахунок коштів державного фонду регіонального розвитку" розроблено фінансовим управлінням міської ради
</t>
  </si>
  <si>
    <r>
      <t xml:space="preserve">Управління освіти, молоді та спорту Лиманської міської ради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</si>
  <si>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освіти, молоді та спорту Лиманської міської ради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</si>
  <si>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Лиманської міської ради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</si>
  <si>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 соціального захисту населення  Лиманської міської ради </t>
    </r>
    <r>
      <rPr>
        <i/>
        <sz val="12"/>
        <rFont val="Times New Roman"/>
        <family val="1"/>
      </rPr>
      <t>(відповідальний виконавець)</t>
    </r>
  </si>
  <si>
    <t>Капітальний ремонт приміщень будівлі МБК “Зеленоклинський”</t>
  </si>
  <si>
    <t>Капітальний ремонт Ярівської загальоосвітньої школи І-ІІІ ступенів” Лиманської міської ради Донецької області</t>
  </si>
  <si>
    <t>Капітальний ремонт Ямпільського навчально-виховного комплексу” загальноосвітня школа І-ІІІ ступенів — дошкільний навчальний заклад” Лиманської міської ради Донецької області</t>
  </si>
  <si>
    <t>0217410</t>
  </si>
  <si>
    <t>0217413</t>
  </si>
  <si>
    <t>7410</t>
  </si>
  <si>
    <t>7413</t>
  </si>
  <si>
    <t>0451</t>
  </si>
  <si>
    <t>Забезпечення надання послуг з перевезення пасажирів автомобільним транспортом</t>
  </si>
  <si>
    <t>Інші заходи у сфері автотранспорту</t>
  </si>
  <si>
    <t>Розробка робочого проекту "Реконструкція харчоблоку загальноосвітньої школи І-ІІІ ступенів №5, розташованої за адресою вул.Театральна, 5а"</t>
  </si>
  <si>
    <t>Програма економічного і соціального розвитку Лиманської об'єднаної територіальної громади на 2018 рік, 5.4. Дорожньо - транспортний комплекс</t>
  </si>
  <si>
    <t>Програма економічного і соціального розвитку Лиманської об'єднаної територіальної громади на 2018 рік,  5.26. Перелік інвестиційних проектів, що можуть реалізовуватись за рахунок коштів державного фонду регіонального розвитку у 2018 році</t>
  </si>
  <si>
    <t>0216080</t>
  </si>
  <si>
    <t>6080</t>
  </si>
  <si>
    <t>Реалізація державних та місцевих житлових програм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</si>
  <si>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</si>
  <si>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</si>
  <si>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</si>
  <si>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</si>
  <si>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віл.зал.осв. субвенція</t>
  </si>
  <si>
    <t>перестановка</t>
  </si>
  <si>
    <t>Реконструкція системи опалення НВК "Гімназія-загальноосвітній навчальний заклад І ступеню", який знаходиться за адресою: вул.Незалежності, 44, м.Лиман, Донецька область</t>
  </si>
  <si>
    <t>0319800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</si>
  <si>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</si>
  <si>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економічного і соціального розвитку Лиманської об'єднаної територіальної громади на 2018 рік</t>
  </si>
  <si>
    <t>Реконструкція системи теплопостачання дошкільного навчального закладу с-ща Дробишеве з установленням модульної котельні на альтернативних видах палива, Лиманської міської ради Донецької області за адресою: вул.Слобожанська,39, смт. Дробишеве, Лиманський район, Донецької області</t>
  </si>
  <si>
    <t>Проектно-вишукувальні роботи по проекту "Реконструкція покрівлі спортивного залу з відновленням частини приміщень Торського навчально-виховного комплексу "загальноосвітня школа І-ІІІ ступенів - дошкільний навчальний заклад" Лиманської міської ради Донецької області за адресою: вул.Роднікова,17а, с.Торське, Лиманський район, Донецька область "</t>
  </si>
  <si>
    <t xml:space="preserve">Реконструкція покрівлі спортивного залу з відновленням частини приміщень Торського навчально-виховного комплексу "загальноосвітня школа І-ІІІ ступенів - дошкільний навчальний заклад" Лиманської міської ради Донецької області за адресою: вул.Роднікова,17а, с.Торське, Лиманський район, Донецька область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</si>
  <si>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</si>
  <si>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0218310</t>
  </si>
  <si>
    <t>8310</t>
  </si>
  <si>
    <t>Запобігання та ліквідація забруднення навколишнього природного середовища</t>
  </si>
  <si>
    <t>0218312</t>
  </si>
  <si>
    <t>8312</t>
  </si>
  <si>
    <t>0512</t>
  </si>
  <si>
    <t>Утилізація відходів</t>
  </si>
  <si>
    <t>0218330</t>
  </si>
  <si>
    <t>8330</t>
  </si>
  <si>
    <t>Інша діяльність у сфері екології та охорони природних ресурсів</t>
  </si>
  <si>
    <t>0212146</t>
  </si>
  <si>
    <t>2146</t>
  </si>
  <si>
    <t>Відшкодування вартості лікарських засобів для лікування окремих захворювань</t>
  </si>
  <si>
    <t>0617130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</si>
  <si>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</si>
  <si>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0217366</t>
  </si>
  <si>
    <t>Реалізація проектів в рамках Надзвичайної кредитної програми для відновлення України</t>
  </si>
  <si>
    <t>0617366</t>
  </si>
  <si>
    <t>Реконструкція з використанням заходів термомодернізації будівлі загальноосвітньої школи №2 у м.Лиман (коригування)</t>
  </si>
  <si>
    <t>0617325</t>
  </si>
  <si>
    <t>Будівництво споруд, установ та закладів фізичної культури і спорту</t>
  </si>
  <si>
    <t>Проектні роботи по робочому проекту "Будівництво фізкультурно-оздоровчого комплексу в м.Лиман Донецької області</t>
  </si>
  <si>
    <t>держ.суб.нова шк.</t>
  </si>
  <si>
    <t>0217670</t>
  </si>
  <si>
    <t>7670</t>
  </si>
  <si>
    <t>Внески до статутного капіталу суб`єктів господарювання</t>
  </si>
  <si>
    <t>розп.обл.б. кв.сир.</t>
  </si>
  <si>
    <t>Субвенція з місцевого бюджету  за рахунок залишку коштів медичної субвенції, що утворився на початок бюджетного періоду</t>
  </si>
  <si>
    <t>0217362</t>
  </si>
  <si>
    <t>Виконання інвестиційних проектів в рамках формування інфраструктури об`єднаних територіальних громад</t>
  </si>
  <si>
    <t>Субвенція з державного бюджету місцевим бюджетам на формування інфраструктури об`єднаних територіальних громад</t>
  </si>
  <si>
    <t>без розпор. поясн.</t>
  </si>
  <si>
    <t>0217330</t>
  </si>
  <si>
    <t>7330</t>
  </si>
  <si>
    <t>Будівництво інших об`єктів соціальної та виробничної інфраструктури комунальної власності</t>
  </si>
  <si>
    <t>Виготовлення проектно-кошторисної документації та проведення державної експертизи проектів з розбудови інженерної інфраструктури по території промислового майданчика Індустріальний парк "Лиманський"</t>
  </si>
  <si>
    <t>Програма економічного і соціального розвитку Лиманської об'єднаної територіальної громади на 2018 рік, 5.1. Промисловий комплекс</t>
  </si>
  <si>
    <t>Будівництво інших об`єктів соціальної та виробничої інфраструктури комунальної власності</t>
  </si>
  <si>
    <t>0615060</t>
  </si>
  <si>
    <t>0615062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</si>
  <si>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</si>
  <si>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</si>
  <si>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0217660</t>
  </si>
  <si>
    <t>7660</t>
  </si>
  <si>
    <t>Програма економічного і соціального розвитку Лиманської об'єднаної територіальної громади на 2018 рік, 5.12. Розвиток земельних відносин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</si>
  <si>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</si>
  <si>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3719800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</si>
  <si>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</si>
  <si>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</si>
  <si>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</si>
  <si>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економічного і соціального розвитку Лиманської об'єднаної територіальної громади на 2018 рік, 5.15. Освіта</t>
  </si>
  <si>
    <t>перевиконання</t>
  </si>
  <si>
    <t>роз.держ.суб.сєр</t>
  </si>
  <si>
    <t>0917323</t>
  </si>
  <si>
    <t>0917320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</si>
  <si>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</si>
  <si>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</si>
  <si>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</si>
  <si>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</si>
  <si>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0813170</t>
  </si>
  <si>
    <t>0813171</t>
  </si>
  <si>
    <t>0813172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</si>
  <si>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</si>
  <si>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</si>
  <si>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І та ІІ груп</t>
  </si>
  <si>
    <t>Програма економічного і соціального розвитку Лиманської об'єднаної територіальної громади на 2018 рік, 5.14. Соціальний захист населення</t>
  </si>
  <si>
    <t>Програма економічного і соціального розвитку Лиманської об'єднаної територіальної громади на 2018 рік, 5.16. Фізичне виховання та спорт</t>
  </si>
  <si>
    <t xml:space="preserve">Програма економічного і соціального розвитку Лиманської об'єднаної територіальної громади на 2018рік, 5.17. Підтримка сім'ї, дітей та молоді
Захист прав дітей-сиріт та дітей, позбавлених батьківського піклування
</t>
  </si>
  <si>
    <t xml:space="preserve">Програма економічного і соціального розвитку Лиманської об'єднаної територіальної громади на 2018рік, 5.17. Підтримка сім'ї, дітей та молоді
</t>
  </si>
  <si>
    <t>Програма економічного і соціального розвитку Лиманської об'єднаної територіальної громади на 2018 рік, 5.18. Охорона здоров'я</t>
  </si>
  <si>
    <t>Програма економічного і соціального розвитку Лиманської об'єднаної територіальної громади на 2018 рік, 5.9. Ринок праці. Зайнятість населення</t>
  </si>
  <si>
    <t xml:space="preserve">Програма економічного і соціального розвитку Лиманської об'єднаної територіальної громади на 2018 рік, 5.5. Житлове господарство та комунальна інфраструктура </t>
  </si>
  <si>
    <t>Програма економічного і соціального розвитку Лиманської об'єднаної територіальної громади на 2018 рік, 5.11. Впровадження заходів територіального планування</t>
  </si>
  <si>
    <t xml:space="preserve">Програма економічного і соціального розвитку Лиманської об'єднаної територіальної громади на 2018 рік, 5.6. Житлове будівництво </t>
  </si>
  <si>
    <t>Програма економічного і соціального розвитку Лиманської об'єднаної територіальної громади на 2018 рік, 5.24. Захист населення і територій від надзвичайних ситуацій</t>
  </si>
  <si>
    <t>Програма економічного і соціального розвитку Лиманської об'єднаної територіальної громади на 2018 рік, 5.22. Охорона навколишнього природного середовища</t>
  </si>
  <si>
    <t>Програма економічного і соціального розвитку Лиманської об'єднаної територіальної громади на 2018 рік, 5.20. Культура і туризм</t>
  </si>
  <si>
    <t>0216070</t>
  </si>
  <si>
    <t>0216071</t>
  </si>
  <si>
    <t>6070</t>
  </si>
  <si>
    <t>6071</t>
  </si>
  <si>
    <t>0640</t>
  </si>
  <si>
    <t>Регулювання цін/тарифів на житлово-комунальні послуги</t>
  </si>
  <si>
    <t>0217412</t>
  </si>
  <si>
    <t>7412</t>
  </si>
  <si>
    <t>Регулювання цін на послуги місцевого автотранспорту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</si>
  <si>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</si>
  <si>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</t>
  </si>
  <si>
    <t>0813084</t>
  </si>
  <si>
    <t>Надання тимчасової державної соціальної допомоги непрацюючий особі, яка досягла загального пенсійного віку, але не набула права на пенсійну виплату</t>
  </si>
  <si>
    <t>Субвенція з місцевого бюджету</t>
  </si>
  <si>
    <t>Реконструкція та реставрація порогу з облаштуванням пандусу в адміністративній будівлі Лиманської міської ради за адресою: м.Лиман, вул.Привокзальна,9</t>
  </si>
  <si>
    <t>Виконня проектно-вишукувальних робіт по об'єкту : "Будівництво водопровідної мережі до промислового майданчика Індустріального парку "Лиманський"</t>
  </si>
  <si>
    <t>Виконня проектно-вишукувальних робіт по об'єкту : "Будівництво газопроводу середнього тиску до промислового майданчика Індустріального парку "Лиманський"</t>
  </si>
  <si>
    <t xml:space="preserve">Рентна  плата та плата за використання інших природних природних ресурсів </t>
  </si>
  <si>
    <t>Акцизний збір з реалізації суб'єктами господарювання роздрібної торгівлі підакцизних товарів</t>
  </si>
  <si>
    <t>Освітня субвенція з державного бюджету місцевим бюджетам</t>
  </si>
  <si>
    <t>Медична субвенція 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</si>
  <si>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 -, водопостачання і водовідведення, квартирної плати(утримання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</si>
  <si>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</si>
  <si>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Всього за типом боргового зобов'язання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</si>
  <si>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</si>
  <si>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</si>
  <si>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Проведення навчально-тренувальних зборів і змагань з не олімпійських видів спорту </t>
  </si>
  <si>
    <t>Виплата державної соціальної допомоги на дітей-сиріт та дітей, позбавлених батьківського піклування у дитячих будинках сімейного типу та прийомних сім’ях, грошового забезпечення батькам-вихователям 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</si>
  <si>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>Надання пільг та житлових субсидій населенню на оплату електроенергії, природного газу, послуг тепло -, водопостачання і водовідведення, квартирної плати, вивезення побутового сміття та рідких нечистот</t>
  </si>
  <si>
    <t>Забезпечення соціальними послугами за місцем проживання громадян, які не здатні до самообслуговування у зв*язику з похилим віком, хворобою, інвалідністю</t>
  </si>
  <si>
    <t>Забезпечення діяльності палаців i будинків культури, клубів, центрів дозвілля та iінших клубних закладів</t>
  </si>
  <si>
    <t>Забезпечення діяльності інших закладів в галузі культури і мистецтва</t>
  </si>
  <si>
    <t>Програма "Забезпечення житлом дітей-сиріт та дітей, позбавлених батьківського піклування, та осіб з їх числа на території Лиманської об`єднаної територіальної громади на 2018-2020 роки"</t>
  </si>
  <si>
    <t>Програма економічного і соціального розвитку Лиманської об'єднаної територіальної громади на 2018 рік, 5.21. Заходи, пов`язані з наслідками проведення АТО на території області. Підтримка внутрішньо переміщених осіб.</t>
  </si>
  <si>
    <t>Програма економічного і соціального розвитку Лиманської об'єднаної територіальної громади на 2018 рік,  5.19. Захист прав дітей-сиріт та дітей, позбавлених батьківського спілкування</t>
  </si>
  <si>
    <t>Виготовлення проектно-кошторисної документації по об'єктах реконструкції та реставрації адміністративних будівель Лиманської міської ради</t>
  </si>
  <si>
    <t>Нежитлова будівля-гуртожиток по вул.Студентська,4 -реконструкція</t>
  </si>
  <si>
    <t>0218313</t>
  </si>
  <si>
    <t>8313</t>
  </si>
  <si>
    <t>0513</t>
  </si>
  <si>
    <t>Лквідація іншого забруднення навколишнього природного середовища</t>
  </si>
  <si>
    <t>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</si>
</sst>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25" fillId="0" borderId="0">
      <alignment/>
      <protection/>
    </xf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9" fillId="7" borderId="1" applyNumberFormat="0" applyAlignment="0" applyProtection="0"/>
    <xf numFmtId="0" fontId="10" fillId="36" borderId="2" applyNumberFormat="0" applyAlignment="0" applyProtection="0"/>
    <xf numFmtId="0" fontId="17" fillId="36" borderId="1" applyNumberFormat="0" applyAlignment="0" applyProtection="0"/>
    <xf numFmtId="0" fontId="26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0" borderId="0">
      <alignment vertical="top"/>
      <protection/>
    </xf>
    <xf numFmtId="0" fontId="14" fillId="0" borderId="6" applyNumberFormat="0" applyFill="0" applyAlignment="0" applyProtection="0"/>
    <xf numFmtId="0" fontId="12" fillId="37" borderId="7" applyNumberFormat="0" applyAlignment="0" applyProtection="0"/>
    <xf numFmtId="0" fontId="18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60" fillId="39" borderId="8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8" fillId="3" borderId="0" applyNumberFormat="0" applyBorder="0" applyAlignment="0" applyProtection="0"/>
    <xf numFmtId="0" fontId="6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1" borderId="10" applyNumberFormat="0" applyFont="0" applyAlignment="0" applyProtection="0"/>
    <xf numFmtId="0" fontId="0" fillId="42" borderId="11" applyNumberFormat="0" applyFont="0" applyAlignment="0" applyProtection="0"/>
    <xf numFmtId="199" fontId="1" fillId="0" borderId="0" applyFont="0" applyFill="0" applyBorder="0" applyAlignment="0" applyProtection="0"/>
    <xf numFmtId="0" fontId="63" fillId="39" borderId="12" applyNumberFormat="0" applyAlignment="0" applyProtection="0"/>
    <xf numFmtId="0" fontId="20" fillId="0" borderId="13" applyNumberFormat="0" applyFill="0" applyAlignment="0" applyProtection="0"/>
    <xf numFmtId="0" fontId="64" fillId="43" borderId="0" applyNumberFormat="0" applyBorder="0" applyAlignment="0" applyProtection="0"/>
    <xf numFmtId="0" fontId="24" fillId="0" borderId="0">
      <alignment/>
      <protection/>
    </xf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3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3" fontId="29" fillId="0" borderId="15" xfId="0" applyNumberFormat="1" applyFont="1" applyFill="1" applyBorder="1" applyAlignment="1" applyProtection="1">
      <alignment vertical="center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3" fontId="37" fillId="0" borderId="14" xfId="0" applyNumberFormat="1" applyFont="1" applyBorder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Font="1" applyFill="1" applyAlignment="1">
      <alignment vertical="center" wrapText="1"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3" fontId="38" fillId="0" borderId="14" xfId="0" applyNumberFormat="1" applyFont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3" fontId="29" fillId="0" borderId="14" xfId="0" applyNumberFormat="1" applyFont="1" applyBorder="1" applyAlignment="1">
      <alignment vertical="center" wrapText="1"/>
    </xf>
    <xf numFmtId="0" fontId="39" fillId="0" borderId="0" xfId="0" applyNumberFormat="1" applyFont="1" applyFill="1" applyAlignment="1" applyProtection="1">
      <alignment wrapText="1"/>
      <protection/>
    </xf>
    <xf numFmtId="0" fontId="39" fillId="0" borderId="0" xfId="0" applyFont="1" applyFill="1" applyAlignment="1">
      <alignment wrapText="1"/>
    </xf>
    <xf numFmtId="0" fontId="23" fillId="0" borderId="14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 applyProtection="1">
      <alignment wrapText="1"/>
      <protection/>
    </xf>
    <xf numFmtId="0" fontId="23" fillId="0" borderId="0" xfId="0" applyFont="1" applyFill="1" applyAlignment="1">
      <alignment wrapText="1"/>
    </xf>
    <xf numFmtId="3" fontId="23" fillId="0" borderId="0" xfId="0" applyNumberFormat="1" applyFont="1" applyFill="1" applyAlignment="1" applyProtection="1">
      <alignment/>
      <protection/>
    </xf>
    <xf numFmtId="3" fontId="23" fillId="44" borderId="0" xfId="0" applyNumberFormat="1" applyFont="1" applyFill="1" applyAlignment="1" applyProtection="1">
      <alignment/>
      <protection/>
    </xf>
    <xf numFmtId="3" fontId="38" fillId="44" borderId="14" xfId="0" applyNumberFormat="1" applyFont="1" applyFill="1" applyBorder="1" applyAlignment="1">
      <alignment vertical="center" wrapText="1"/>
    </xf>
    <xf numFmtId="3" fontId="37" fillId="44" borderId="14" xfId="0" applyNumberFormat="1" applyFont="1" applyFill="1" applyBorder="1" applyAlignment="1">
      <alignment vertical="center" wrapText="1"/>
    </xf>
    <xf numFmtId="3" fontId="29" fillId="44" borderId="14" xfId="0" applyNumberFormat="1" applyFont="1" applyFill="1" applyBorder="1" applyAlignment="1">
      <alignment vertical="center" wrapText="1"/>
    </xf>
    <xf numFmtId="3" fontId="29" fillId="0" borderId="14" xfId="0" applyNumberFormat="1" applyFont="1" applyFill="1" applyBorder="1" applyAlignment="1" applyProtection="1">
      <alignment vertical="center" wrapText="1"/>
      <protection/>
    </xf>
    <xf numFmtId="3" fontId="29" fillId="44" borderId="14" xfId="0" applyNumberFormat="1" applyFont="1" applyFill="1" applyBorder="1" applyAlignment="1" applyProtection="1">
      <alignment vertical="center" wrapText="1"/>
      <protection/>
    </xf>
    <xf numFmtId="3" fontId="23" fillId="0" borderId="14" xfId="0" applyNumberFormat="1" applyFont="1" applyFill="1" applyBorder="1" applyAlignment="1" applyProtection="1">
      <alignment vertical="center" wrapText="1"/>
      <protection/>
    </xf>
    <xf numFmtId="3" fontId="37" fillId="0" borderId="16" xfId="0" applyNumberFormat="1" applyFont="1" applyBorder="1" applyAlignment="1">
      <alignment vertical="center" wrapText="1"/>
    </xf>
    <xf numFmtId="3" fontId="29" fillId="44" borderId="17" xfId="0" applyNumberFormat="1" applyFont="1" applyFill="1" applyBorder="1" applyAlignment="1" applyProtection="1">
      <alignment vertical="center" wrapText="1"/>
      <protection/>
    </xf>
    <xf numFmtId="3" fontId="37" fillId="0" borderId="16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 applyProtection="1">
      <alignment vertical="center" wrapText="1"/>
      <protection/>
    </xf>
    <xf numFmtId="3" fontId="38" fillId="0" borderId="17" xfId="0" applyNumberFormat="1" applyFont="1" applyFill="1" applyBorder="1" applyAlignment="1">
      <alignment vertical="center" wrapText="1"/>
    </xf>
    <xf numFmtId="3" fontId="29" fillId="0" borderId="14" xfId="0" applyNumberFormat="1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3" fontId="38" fillId="44" borderId="14" xfId="0" applyNumberFormat="1" applyFont="1" applyFill="1" applyBorder="1" applyAlignment="1" applyProtection="1">
      <alignment vertical="center" wrapText="1"/>
      <protection/>
    </xf>
    <xf numFmtId="3" fontId="38" fillId="45" borderId="14" xfId="93" applyNumberFormat="1" applyFont="1" applyFill="1" applyBorder="1" applyAlignment="1">
      <alignment horizontal="right" vertical="top"/>
      <protection/>
    </xf>
    <xf numFmtId="3" fontId="29" fillId="45" borderId="14" xfId="93" applyNumberFormat="1" applyFont="1" applyFill="1" applyBorder="1" applyAlignment="1">
      <alignment horizontal="right" vertical="top"/>
      <protection/>
    </xf>
    <xf numFmtId="49" fontId="32" fillId="45" borderId="14" xfId="0" applyNumberFormat="1" applyFont="1" applyFill="1" applyBorder="1" applyAlignment="1">
      <alignment horizontal="center" vertical="center" wrapText="1"/>
    </xf>
    <xf numFmtId="0" fontId="32" fillId="45" borderId="14" xfId="0" applyFont="1" applyFill="1" applyBorder="1" applyAlignment="1">
      <alignment wrapText="1"/>
    </xf>
    <xf numFmtId="49" fontId="29" fillId="45" borderId="14" xfId="0" applyNumberFormat="1" applyFont="1" applyFill="1" applyBorder="1" applyAlignment="1">
      <alignment horizontal="center" vertical="center" wrapText="1"/>
    </xf>
    <xf numFmtId="49" fontId="29" fillId="45" borderId="17" xfId="0" applyNumberFormat="1" applyFont="1" applyFill="1" applyBorder="1" applyAlignment="1">
      <alignment horizontal="center" vertical="center"/>
    </xf>
    <xf numFmtId="3" fontId="29" fillId="45" borderId="14" xfId="0" applyNumberFormat="1" applyFont="1" applyFill="1" applyBorder="1" applyAlignment="1" applyProtection="1">
      <alignment vertical="center" wrapText="1"/>
      <protection/>
    </xf>
    <xf numFmtId="3" fontId="38" fillId="45" borderId="14" xfId="0" applyNumberFormat="1" applyFont="1" applyFill="1" applyBorder="1" applyAlignment="1">
      <alignment vertical="center" wrapText="1"/>
    </xf>
    <xf numFmtId="3" fontId="29" fillId="45" borderId="14" xfId="0" applyNumberFormat="1" applyFont="1" applyFill="1" applyBorder="1" applyAlignment="1">
      <alignment vertical="center" wrapText="1"/>
    </xf>
    <xf numFmtId="0" fontId="32" fillId="45" borderId="14" xfId="0" applyFont="1" applyFill="1" applyBorder="1" applyAlignment="1">
      <alignment vertical="center" wrapText="1"/>
    </xf>
    <xf numFmtId="0" fontId="36" fillId="45" borderId="14" xfId="0" applyFont="1" applyFill="1" applyBorder="1" applyAlignment="1">
      <alignment vertical="center" wrapText="1"/>
    </xf>
    <xf numFmtId="49" fontId="32" fillId="45" borderId="14" xfId="0" applyNumberFormat="1" applyFont="1" applyFill="1" applyBorder="1" applyAlignment="1">
      <alignment horizontal="center" vertical="center"/>
    </xf>
    <xf numFmtId="49" fontId="32" fillId="45" borderId="17" xfId="0" applyNumberFormat="1" applyFont="1" applyFill="1" applyBorder="1" applyAlignment="1">
      <alignment horizontal="center" vertical="center"/>
    </xf>
    <xf numFmtId="49" fontId="32" fillId="45" borderId="14" xfId="0" applyNumberFormat="1" applyFont="1" applyFill="1" applyBorder="1" applyAlignment="1">
      <alignment vertical="center" wrapText="1"/>
    </xf>
    <xf numFmtId="0" fontId="38" fillId="0" borderId="14" xfId="0" applyFont="1" applyBorder="1" applyAlignment="1">
      <alignment wrapText="1"/>
    </xf>
    <xf numFmtId="49" fontId="32" fillId="45" borderId="17" xfId="0" applyNumberFormat="1" applyFont="1" applyFill="1" applyBorder="1" applyAlignment="1">
      <alignment horizontal="center" vertical="center" wrapText="1"/>
    </xf>
    <xf numFmtId="0" fontId="32" fillId="45" borderId="17" xfId="0" applyFont="1" applyFill="1" applyBorder="1" applyAlignment="1">
      <alignment horizontal="center" vertical="center"/>
    </xf>
    <xf numFmtId="0" fontId="32" fillId="45" borderId="14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3" fontId="29" fillId="45" borderId="14" xfId="0" applyNumberFormat="1" applyFont="1" applyFill="1" applyBorder="1" applyAlignment="1" applyProtection="1">
      <alignment horizontal="right" vertical="center"/>
      <protection/>
    </xf>
    <xf numFmtId="3" fontId="29" fillId="0" borderId="0" xfId="0" applyNumberFormat="1" applyFont="1" applyFill="1" applyAlignment="1" applyProtection="1">
      <alignment vertical="center" wrapText="1"/>
      <protection/>
    </xf>
    <xf numFmtId="3" fontId="29" fillId="0" borderId="15" xfId="0" applyNumberFormat="1" applyFont="1" applyFill="1" applyBorder="1" applyAlignment="1" applyProtection="1">
      <alignment horizontal="right" vertical="center"/>
      <protection/>
    </xf>
    <xf numFmtId="0" fontId="41" fillId="0" borderId="14" xfId="0" applyFont="1" applyBorder="1" applyAlignment="1">
      <alignment wrapText="1"/>
    </xf>
    <xf numFmtId="0" fontId="0" fillId="45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0" fillId="45" borderId="0" xfId="0" applyFont="1" applyFill="1" applyAlignment="1">
      <alignment/>
    </xf>
    <xf numFmtId="49" fontId="32" fillId="45" borderId="14" xfId="0" applyNumberFormat="1" applyFont="1" applyFill="1" applyBorder="1" applyAlignment="1">
      <alignment horizontal="left" wrapText="1"/>
    </xf>
    <xf numFmtId="0" fontId="36" fillId="45" borderId="14" xfId="0" applyFont="1" applyFill="1" applyBorder="1" applyAlignment="1">
      <alignment wrapText="1"/>
    </xf>
    <xf numFmtId="49" fontId="32" fillId="45" borderId="1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29" fillId="45" borderId="0" xfId="0" applyNumberFormat="1" applyFont="1" applyFill="1" applyBorder="1" applyAlignment="1" applyProtection="1">
      <alignment horizontal="right" vertical="center"/>
      <protection/>
    </xf>
    <xf numFmtId="200" fontId="29" fillId="45" borderId="14" xfId="0" applyNumberFormat="1" applyFont="1" applyFill="1" applyBorder="1" applyAlignment="1">
      <alignment vertical="center" wrapText="1"/>
    </xf>
    <xf numFmtId="49" fontId="32" fillId="45" borderId="14" xfId="0" applyNumberFormat="1" applyFont="1" applyFill="1" applyBorder="1" applyAlignment="1">
      <alignment wrapText="1"/>
    </xf>
    <xf numFmtId="0" fontId="29" fillId="45" borderId="14" xfId="0" applyNumberFormat="1" applyFont="1" applyFill="1" applyBorder="1" applyAlignment="1" applyProtection="1">
      <alignment horizontal="center" vertical="center" wrapText="1"/>
      <protection/>
    </xf>
    <xf numFmtId="3" fontId="37" fillId="45" borderId="14" xfId="0" applyNumberFormat="1" applyFont="1" applyFill="1" applyBorder="1" applyAlignment="1">
      <alignment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3" fontId="37" fillId="0" borderId="17" xfId="0" applyNumberFormat="1" applyFont="1" applyBorder="1" applyAlignment="1">
      <alignment vertical="center" wrapText="1"/>
    </xf>
    <xf numFmtId="0" fontId="29" fillId="0" borderId="19" xfId="0" applyNumberFormat="1" applyFont="1" applyFill="1" applyBorder="1" applyAlignment="1" applyProtection="1">
      <alignment vertical="center" wrapText="1"/>
      <protection/>
    </xf>
    <xf numFmtId="0" fontId="0" fillId="45" borderId="14" xfId="0" applyNumberFormat="1" applyFont="1" applyFill="1" applyBorder="1" applyAlignment="1" applyProtection="1">
      <alignment/>
      <protection/>
    </xf>
    <xf numFmtId="0" fontId="44" fillId="0" borderId="14" xfId="0" applyNumberFormat="1" applyFont="1" applyFill="1" applyBorder="1" applyAlignment="1" applyProtection="1">
      <alignment vertical="center" wrapText="1"/>
      <protection/>
    </xf>
    <xf numFmtId="0" fontId="44" fillId="0" borderId="14" xfId="0" applyFont="1" applyBorder="1" applyAlignment="1">
      <alignment/>
    </xf>
    <xf numFmtId="0" fontId="44" fillId="0" borderId="20" xfId="0" applyFont="1" applyBorder="1" applyAlignment="1">
      <alignment wrapText="1"/>
    </xf>
    <xf numFmtId="0" fontId="29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3" fontId="23" fillId="44" borderId="14" xfId="0" applyNumberFormat="1" applyFont="1" applyFill="1" applyBorder="1" applyAlignment="1" applyProtection="1">
      <alignment vertical="center" wrapText="1"/>
      <protection/>
    </xf>
    <xf numFmtId="0" fontId="32" fillId="45" borderId="14" xfId="0" applyFont="1" applyFill="1" applyBorder="1" applyAlignment="1">
      <alignment horizontal="left" wrapText="1"/>
    </xf>
    <xf numFmtId="0" fontId="32" fillId="45" borderId="0" xfId="0" applyFont="1" applyFill="1" applyAlignment="1">
      <alignment wrapText="1"/>
    </xf>
    <xf numFmtId="0" fontId="32" fillId="45" borderId="14" xfId="0" applyFont="1" applyFill="1" applyBorder="1" applyAlignment="1">
      <alignment/>
    </xf>
    <xf numFmtId="0" fontId="32" fillId="45" borderId="17" xfId="0" applyNumberFormat="1" applyFont="1" applyFill="1" applyBorder="1" applyAlignment="1">
      <alignment horizontal="center" vertical="center"/>
    </xf>
    <xf numFmtId="0" fontId="32" fillId="45" borderId="14" xfId="0" applyFont="1" applyFill="1" applyBorder="1" applyAlignment="1">
      <alignment wrapText="1"/>
    </xf>
    <xf numFmtId="49" fontId="32" fillId="45" borderId="16" xfId="0" applyNumberFormat="1" applyFont="1" applyFill="1" applyBorder="1" applyAlignment="1">
      <alignment horizontal="center" vertical="center" wrapText="1"/>
    </xf>
    <xf numFmtId="0" fontId="32" fillId="45" borderId="14" xfId="0" applyFont="1" applyFill="1" applyBorder="1" applyAlignment="1">
      <alignment horizontal="justify" vertical="center" wrapText="1"/>
    </xf>
    <xf numFmtId="3" fontId="37" fillId="45" borderId="14" xfId="93" applyNumberFormat="1" applyFont="1" applyFill="1" applyBorder="1" applyAlignment="1">
      <alignment horizontal="right" vertical="top"/>
      <protection/>
    </xf>
    <xf numFmtId="3" fontId="23" fillId="45" borderId="14" xfId="93" applyNumberFormat="1" applyFont="1" applyFill="1" applyBorder="1" applyAlignment="1">
      <alignment horizontal="right" vertical="top"/>
      <protection/>
    </xf>
    <xf numFmtId="3" fontId="37" fillId="45" borderId="17" xfId="93" applyNumberFormat="1" applyFont="1" applyFill="1" applyBorder="1" applyAlignment="1">
      <alignment horizontal="right" vertical="top"/>
      <protection/>
    </xf>
    <xf numFmtId="49" fontId="36" fillId="45" borderId="17" xfId="0" applyNumberFormat="1" applyFont="1" applyFill="1" applyBorder="1" applyAlignment="1">
      <alignment horizontal="center" vertical="center"/>
    </xf>
    <xf numFmtId="49" fontId="36" fillId="45" borderId="14" xfId="0" applyNumberFormat="1" applyFont="1" applyFill="1" applyBorder="1" applyAlignment="1">
      <alignment vertical="center" wrapText="1"/>
    </xf>
    <xf numFmtId="49" fontId="32" fillId="45" borderId="18" xfId="0" applyNumberFormat="1" applyFont="1" applyFill="1" applyBorder="1" applyAlignment="1">
      <alignment horizontal="left" vertical="center"/>
    </xf>
    <xf numFmtId="49" fontId="36" fillId="45" borderId="14" xfId="0" applyNumberFormat="1" applyFont="1" applyFill="1" applyBorder="1" applyAlignment="1">
      <alignment horizontal="center" vertical="center" wrapText="1"/>
    </xf>
    <xf numFmtId="0" fontId="36" fillId="45" borderId="17" xfId="0" applyFont="1" applyFill="1" applyBorder="1" applyAlignment="1">
      <alignment horizontal="center" vertical="center"/>
    </xf>
    <xf numFmtId="0" fontId="36" fillId="45" borderId="17" xfId="0" applyNumberFormat="1" applyFont="1" applyFill="1" applyBorder="1" applyAlignment="1">
      <alignment horizontal="center" vertical="center"/>
    </xf>
    <xf numFmtId="3" fontId="66" fillId="45" borderId="14" xfId="93" applyNumberFormat="1" applyFont="1" applyFill="1" applyBorder="1" applyAlignment="1">
      <alignment horizontal="right" vertical="top"/>
      <protection/>
    </xf>
    <xf numFmtId="49" fontId="36" fillId="45" borderId="17" xfId="0" applyNumberFormat="1" applyFont="1" applyFill="1" applyBorder="1" applyAlignment="1">
      <alignment horizontal="center" vertical="center" wrapText="1"/>
    </xf>
    <xf numFmtId="49" fontId="36" fillId="45" borderId="16" xfId="0" applyNumberFormat="1" applyFont="1" applyFill="1" applyBorder="1" applyAlignment="1">
      <alignment horizontal="center" vertical="center" wrapText="1"/>
    </xf>
    <xf numFmtId="0" fontId="36" fillId="45" borderId="14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49" fontId="32" fillId="45" borderId="14" xfId="0" applyNumberFormat="1" applyFont="1" applyFill="1" applyBorder="1" applyAlignment="1">
      <alignment horizontal="left" vertical="top" wrapText="1"/>
    </xf>
    <xf numFmtId="0" fontId="32" fillId="45" borderId="14" xfId="0" applyFont="1" applyFill="1" applyBorder="1" applyAlignment="1">
      <alignment horizontal="left" vertical="top" wrapText="1"/>
    </xf>
    <xf numFmtId="0" fontId="29" fillId="45" borderId="14" xfId="0" applyFont="1" applyFill="1" applyBorder="1" applyAlignment="1">
      <alignment horizontal="left" vertical="top" wrapText="1"/>
    </xf>
    <xf numFmtId="0" fontId="36" fillId="45" borderId="14" xfId="0" applyFont="1" applyFill="1" applyBorder="1" applyAlignment="1">
      <alignment horizontal="left" vertical="top" wrapText="1"/>
    </xf>
    <xf numFmtId="49" fontId="29" fillId="45" borderId="14" xfId="0" applyNumberFormat="1" applyFont="1" applyFill="1" applyBorder="1" applyAlignment="1">
      <alignment horizontal="left" vertical="top" wrapText="1"/>
    </xf>
    <xf numFmtId="0" fontId="32" fillId="45" borderId="0" xfId="0" applyFont="1" applyFill="1" applyAlignment="1">
      <alignment horizontal="left" vertical="top" wrapText="1"/>
    </xf>
    <xf numFmtId="0" fontId="32" fillId="45" borderId="14" xfId="0" applyFont="1" applyFill="1" applyBorder="1" applyAlignment="1">
      <alignment horizontal="left" vertical="top" wrapText="1"/>
    </xf>
    <xf numFmtId="200" fontId="38" fillId="45" borderId="14" xfId="93" applyNumberFormat="1" applyFont="1" applyFill="1" applyBorder="1" applyAlignment="1">
      <alignment horizontal="left" vertical="top"/>
      <protection/>
    </xf>
    <xf numFmtId="0" fontId="29" fillId="45" borderId="0" xfId="0" applyFont="1" applyFill="1" applyAlignment="1">
      <alignment horizontal="left" vertical="top"/>
    </xf>
    <xf numFmtId="0" fontId="32" fillId="45" borderId="14" xfId="0" applyFont="1" applyFill="1" applyBorder="1" applyAlignment="1">
      <alignment horizontal="left" vertical="top"/>
    </xf>
    <xf numFmtId="49" fontId="36" fillId="45" borderId="14" xfId="0" applyNumberFormat="1" applyFont="1" applyFill="1" applyBorder="1" applyAlignment="1">
      <alignment horizontal="center" vertical="center"/>
    </xf>
    <xf numFmtId="3" fontId="38" fillId="45" borderId="14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1" fillId="45" borderId="0" xfId="0" applyFont="1" applyFill="1" applyAlignment="1">
      <alignment/>
    </xf>
    <xf numFmtId="0" fontId="41" fillId="45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45" borderId="14" xfId="0" applyNumberFormat="1" applyFont="1" applyFill="1" applyBorder="1" applyAlignment="1" applyProtection="1">
      <alignment vertical="center" wrapText="1"/>
      <protection/>
    </xf>
    <xf numFmtId="0" fontId="36" fillId="45" borderId="0" xfId="0" applyFont="1" applyFill="1" applyAlignment="1">
      <alignment vertical="center" wrapText="1"/>
    </xf>
    <xf numFmtId="0" fontId="36" fillId="45" borderId="0" xfId="0" applyFont="1" applyFill="1" applyAlignment="1">
      <alignment wrapText="1"/>
    </xf>
    <xf numFmtId="0" fontId="0" fillId="45" borderId="0" xfId="0" applyNumberFormat="1" applyFont="1" applyFill="1" applyBorder="1" applyAlignment="1" applyProtection="1">
      <alignment/>
      <protection/>
    </xf>
    <xf numFmtId="200" fontId="37" fillId="45" borderId="14" xfId="93" applyNumberFormat="1" applyFont="1" applyFill="1" applyBorder="1" applyAlignment="1">
      <alignment horizontal="left" vertical="top"/>
      <protection/>
    </xf>
    <xf numFmtId="0" fontId="29" fillId="45" borderId="0" xfId="0" applyNumberFormat="1" applyFont="1" applyFill="1" applyBorder="1" applyAlignment="1" applyProtection="1">
      <alignment/>
      <protection/>
    </xf>
    <xf numFmtId="0" fontId="29" fillId="45" borderId="14" xfId="0" applyFont="1" applyFill="1" applyBorder="1" applyAlignment="1">
      <alignment horizontal="left" vertical="top"/>
    </xf>
    <xf numFmtId="49" fontId="23" fillId="45" borderId="14" xfId="0" applyNumberFormat="1" applyFont="1" applyFill="1" applyBorder="1" applyAlignment="1">
      <alignment horizontal="left" vertical="top" wrapText="1"/>
    </xf>
    <xf numFmtId="0" fontId="23" fillId="45" borderId="14" xfId="0" applyFont="1" applyFill="1" applyBorder="1" applyAlignment="1">
      <alignment horizontal="left" vertical="top" wrapText="1"/>
    </xf>
    <xf numFmtId="0" fontId="29" fillId="45" borderId="0" xfId="0" applyFont="1" applyFill="1" applyAlignment="1">
      <alignment/>
    </xf>
    <xf numFmtId="0" fontId="23" fillId="45" borderId="0" xfId="0" applyNumberFormat="1" applyFont="1" applyFill="1" applyBorder="1" applyAlignment="1" applyProtection="1">
      <alignment/>
      <protection/>
    </xf>
    <xf numFmtId="0" fontId="23" fillId="45" borderId="14" xfId="0" applyFont="1" applyFill="1" applyBorder="1" applyAlignment="1">
      <alignment horizontal="left" vertical="top"/>
    </xf>
    <xf numFmtId="0" fontId="23" fillId="45" borderId="0" xfId="0" applyFont="1" applyFill="1" applyAlignment="1">
      <alignment/>
    </xf>
    <xf numFmtId="3" fontId="37" fillId="45" borderId="14" xfId="93" applyNumberFormat="1" applyFont="1" applyFill="1" applyBorder="1" applyAlignment="1">
      <alignment horizontal="center" vertical="top"/>
      <protection/>
    </xf>
    <xf numFmtId="49" fontId="23" fillId="45" borderId="14" xfId="0" applyNumberFormat="1" applyFont="1" applyFill="1" applyBorder="1" applyAlignment="1">
      <alignment horizontal="left" vertical="top"/>
    </xf>
    <xf numFmtId="49" fontId="29" fillId="45" borderId="14" xfId="0" applyNumberFormat="1" applyFont="1" applyFill="1" applyBorder="1" applyAlignment="1">
      <alignment horizontal="left" vertical="top"/>
    </xf>
    <xf numFmtId="0" fontId="69" fillId="45" borderId="14" xfId="0" applyFont="1" applyFill="1" applyBorder="1" applyAlignment="1">
      <alignment horizontal="left" vertical="top" wrapText="1" shrinkToFit="1"/>
    </xf>
    <xf numFmtId="3" fontId="69" fillId="45" borderId="14" xfId="0" applyNumberFormat="1" applyFont="1" applyFill="1" applyBorder="1" applyAlignment="1">
      <alignment horizontal="center" vertical="top" wrapText="1" shrinkToFit="1"/>
    </xf>
    <xf numFmtId="3" fontId="38" fillId="45" borderId="14" xfId="93" applyNumberFormat="1" applyFont="1" applyFill="1" applyBorder="1" applyAlignment="1">
      <alignment horizontal="center" vertical="top"/>
      <protection/>
    </xf>
    <xf numFmtId="3" fontId="37" fillId="45" borderId="14" xfId="0" applyNumberFormat="1" applyFont="1" applyFill="1" applyBorder="1" applyAlignment="1">
      <alignment horizontal="center" vertical="top"/>
    </xf>
    <xf numFmtId="49" fontId="29" fillId="45" borderId="14" xfId="0" applyNumberFormat="1" applyFont="1" applyFill="1" applyBorder="1" applyAlignment="1">
      <alignment horizontal="center" vertical="center"/>
    </xf>
    <xf numFmtId="0" fontId="29" fillId="45" borderId="14" xfId="0" applyFont="1" applyFill="1" applyBorder="1" applyAlignment="1">
      <alignment wrapText="1"/>
    </xf>
    <xf numFmtId="0" fontId="29" fillId="45" borderId="0" xfId="0" applyFont="1" applyFill="1" applyAlignment="1">
      <alignment vertical="center"/>
    </xf>
    <xf numFmtId="0" fontId="29" fillId="45" borderId="0" xfId="0" applyNumberFormat="1" applyFont="1" applyFill="1" applyAlignment="1" applyProtection="1">
      <alignment vertical="center"/>
      <protection/>
    </xf>
    <xf numFmtId="0" fontId="32" fillId="45" borderId="14" xfId="0" applyFont="1" applyFill="1" applyBorder="1" applyAlignment="1">
      <alignment/>
    </xf>
    <xf numFmtId="0" fontId="36" fillId="45" borderId="0" xfId="0" applyFont="1" applyFill="1" applyAlignment="1">
      <alignment/>
    </xf>
    <xf numFmtId="0" fontId="36" fillId="45" borderId="20" xfId="0" applyFont="1" applyFill="1" applyBorder="1" applyAlignment="1">
      <alignment horizontal="justify" vertical="center" wrapText="1"/>
    </xf>
    <xf numFmtId="200" fontId="38" fillId="45" borderId="14" xfId="93" applyNumberFormat="1" applyFont="1" applyFill="1" applyBorder="1" applyAlignment="1">
      <alignment horizontal="left" vertical="top" wrapText="1"/>
      <protection/>
    </xf>
    <xf numFmtId="0" fontId="32" fillId="45" borderId="14" xfId="0" applyFont="1" applyFill="1" applyBorder="1" applyAlignment="1">
      <alignment vertical="top" wrapText="1"/>
    </xf>
    <xf numFmtId="0" fontId="36" fillId="45" borderId="20" xfId="0" applyFont="1" applyFill="1" applyBorder="1" applyAlignment="1">
      <alignment horizontal="justify" vertical="top" wrapText="1"/>
    </xf>
    <xf numFmtId="0" fontId="30" fillId="45" borderId="14" xfId="0" applyFont="1" applyFill="1" applyBorder="1" applyAlignment="1">
      <alignment horizontal="center"/>
    </xf>
    <xf numFmtId="0" fontId="69" fillId="45" borderId="14" xfId="0" applyFont="1" applyFill="1" applyBorder="1" applyAlignment="1">
      <alignment horizontal="left" vertical="top" wrapText="1"/>
    </xf>
    <xf numFmtId="3" fontId="38" fillId="45" borderId="14" xfId="93" applyNumberFormat="1" applyFont="1" applyFill="1" applyBorder="1" applyAlignment="1">
      <alignment horizontal="center" vertical="center"/>
      <protection/>
    </xf>
    <xf numFmtId="3" fontId="37" fillId="45" borderId="14" xfId="93" applyNumberFormat="1" applyFont="1" applyFill="1" applyBorder="1" applyAlignment="1">
      <alignment horizontal="center" vertical="center"/>
      <protection/>
    </xf>
    <xf numFmtId="0" fontId="36" fillId="45" borderId="14" xfId="0" applyFont="1" applyFill="1" applyBorder="1" applyAlignment="1">
      <alignment horizontal="left" vertical="center" wrapText="1"/>
    </xf>
    <xf numFmtId="3" fontId="29" fillId="45" borderId="17" xfId="0" applyNumberFormat="1" applyFont="1" applyFill="1" applyBorder="1" applyAlignment="1" applyProtection="1">
      <alignment vertical="center" wrapText="1"/>
      <protection/>
    </xf>
    <xf numFmtId="0" fontId="30" fillId="45" borderId="14" xfId="0" applyFont="1" applyFill="1" applyBorder="1" applyAlignment="1">
      <alignment horizontal="center" vertical="center"/>
    </xf>
    <xf numFmtId="3" fontId="29" fillId="45" borderId="14" xfId="93" applyNumberFormat="1" applyFont="1" applyFill="1" applyBorder="1" applyAlignment="1">
      <alignment horizontal="center" vertical="center"/>
      <protection/>
    </xf>
    <xf numFmtId="3" fontId="38" fillId="45" borderId="14" xfId="0" applyNumberFormat="1" applyFont="1" applyFill="1" applyBorder="1" applyAlignment="1">
      <alignment horizontal="center" vertical="center"/>
    </xf>
    <xf numFmtId="0" fontId="29" fillId="45" borderId="0" xfId="0" applyFont="1" applyFill="1" applyAlignment="1">
      <alignment wrapText="1"/>
    </xf>
    <xf numFmtId="3" fontId="37" fillId="45" borderId="16" xfId="0" applyNumberFormat="1" applyFont="1" applyFill="1" applyBorder="1" applyAlignment="1">
      <alignment vertical="center" wrapText="1"/>
    </xf>
    <xf numFmtId="3" fontId="38" fillId="45" borderId="17" xfId="0" applyNumberFormat="1" applyFont="1" applyFill="1" applyBorder="1" applyAlignment="1">
      <alignment vertical="center" wrapText="1"/>
    </xf>
    <xf numFmtId="0" fontId="29" fillId="45" borderId="14" xfId="0" applyFont="1" applyFill="1" applyBorder="1" applyAlignment="1">
      <alignment horizontal="left" vertical="center" wrapText="1"/>
    </xf>
    <xf numFmtId="0" fontId="36" fillId="45" borderId="0" xfId="0" applyFont="1" applyFill="1" applyBorder="1" applyAlignment="1">
      <alignment vertical="center" wrapText="1"/>
    </xf>
    <xf numFmtId="0" fontId="29" fillId="46" borderId="14" xfId="0" applyNumberFormat="1" applyFont="1" applyFill="1" applyBorder="1" applyAlignment="1" applyProtection="1">
      <alignment horizontal="center" vertical="center" wrapText="1"/>
      <protection/>
    </xf>
    <xf numFmtId="0" fontId="29" fillId="46" borderId="14" xfId="0" applyNumberFormat="1" applyFont="1" applyFill="1" applyBorder="1" applyAlignment="1" applyProtection="1">
      <alignment vertical="center" wrapText="1"/>
      <protection/>
    </xf>
    <xf numFmtId="3" fontId="37" fillId="46" borderId="16" xfId="0" applyNumberFormat="1" applyFont="1" applyFill="1" applyBorder="1" applyAlignment="1">
      <alignment vertical="center" wrapText="1"/>
    </xf>
    <xf numFmtId="200" fontId="29" fillId="46" borderId="14" xfId="0" applyNumberFormat="1" applyFont="1" applyFill="1" applyBorder="1" applyAlignment="1">
      <alignment vertical="center" wrapText="1"/>
    </xf>
    <xf numFmtId="0" fontId="29" fillId="46" borderId="14" xfId="0" applyFont="1" applyFill="1" applyBorder="1" applyAlignment="1">
      <alignment wrapText="1"/>
    </xf>
    <xf numFmtId="3" fontId="38" fillId="46" borderId="14" xfId="0" applyNumberFormat="1" applyFont="1" applyFill="1" applyBorder="1" applyAlignment="1">
      <alignment vertical="center" wrapText="1"/>
    </xf>
    <xf numFmtId="0" fontId="69" fillId="0" borderId="0" xfId="0" applyFont="1" applyAlignment="1">
      <alignment wrapText="1"/>
    </xf>
    <xf numFmtId="3" fontId="70" fillId="45" borderId="14" xfId="93" applyNumberFormat="1" applyFont="1" applyFill="1" applyBorder="1" applyAlignment="1">
      <alignment horizontal="right" vertical="top"/>
      <protection/>
    </xf>
    <xf numFmtId="0" fontId="32" fillId="45" borderId="0" xfId="0" applyFont="1" applyFill="1" applyAlignment="1">
      <alignment vertical="center" wrapText="1"/>
    </xf>
    <xf numFmtId="49" fontId="29" fillId="45" borderId="17" xfId="0" applyNumberFormat="1" applyFont="1" applyFill="1" applyBorder="1" applyAlignment="1">
      <alignment horizontal="center" vertical="top"/>
    </xf>
    <xf numFmtId="49" fontId="29" fillId="45" borderId="14" xfId="0" applyNumberFormat="1" applyFont="1" applyFill="1" applyBorder="1" applyAlignment="1">
      <alignment horizontal="center" vertical="top" wrapText="1"/>
    </xf>
    <xf numFmtId="49" fontId="32" fillId="45" borderId="14" xfId="0" applyNumberFormat="1" applyFont="1" applyFill="1" applyBorder="1" applyAlignment="1">
      <alignment vertical="top" wrapText="1"/>
    </xf>
    <xf numFmtId="0" fontId="29" fillId="45" borderId="14" xfId="0" applyFont="1" applyFill="1" applyBorder="1" applyAlignment="1">
      <alignment horizontal="center" vertical="top" wrapText="1"/>
    </xf>
    <xf numFmtId="0" fontId="23" fillId="45" borderId="14" xfId="0" applyFont="1" applyFill="1" applyBorder="1" applyAlignment="1">
      <alignment horizontal="center" vertical="top" wrapText="1"/>
    </xf>
    <xf numFmtId="200" fontId="37" fillId="45" borderId="14" xfId="93" applyNumberFormat="1" applyFont="1" applyFill="1" applyBorder="1" applyAlignment="1">
      <alignment horizontal="center" vertical="top"/>
      <protection/>
    </xf>
    <xf numFmtId="0" fontId="32" fillId="45" borderId="17" xfId="0" applyFont="1" applyFill="1" applyBorder="1" applyAlignment="1">
      <alignment horizontal="center" vertical="top"/>
    </xf>
    <xf numFmtId="0" fontId="29" fillId="45" borderId="14" xfId="0" applyFont="1" applyFill="1" applyBorder="1" applyAlignment="1">
      <alignment vertical="top" wrapText="1"/>
    </xf>
    <xf numFmtId="0" fontId="36" fillId="45" borderId="17" xfId="0" applyFont="1" applyFill="1" applyBorder="1" applyAlignment="1">
      <alignment horizontal="center" vertical="top"/>
    </xf>
    <xf numFmtId="49" fontId="36" fillId="45" borderId="14" xfId="0" applyNumberFormat="1" applyFont="1" applyFill="1" applyBorder="1" applyAlignment="1">
      <alignment horizontal="center" vertical="top" wrapText="1"/>
    </xf>
    <xf numFmtId="0" fontId="36" fillId="45" borderId="14" xfId="0" applyFont="1" applyFill="1" applyBorder="1" applyAlignment="1">
      <alignment vertical="top" wrapText="1"/>
    </xf>
    <xf numFmtId="0" fontId="29" fillId="45" borderId="17" xfId="0" applyFont="1" applyFill="1" applyBorder="1" applyAlignment="1">
      <alignment horizontal="center" vertical="top"/>
    </xf>
    <xf numFmtId="200" fontId="38" fillId="45" borderId="14" xfId="93" applyNumberFormat="1" applyFont="1" applyFill="1" applyBorder="1" applyAlignment="1">
      <alignment horizontal="center" vertical="top"/>
      <protection/>
    </xf>
    <xf numFmtId="0" fontId="44" fillId="45" borderId="17" xfId="0" applyFont="1" applyFill="1" applyBorder="1" applyAlignment="1">
      <alignment horizontal="center" vertical="top"/>
    </xf>
    <xf numFmtId="49" fontId="44" fillId="45" borderId="14" xfId="0" applyNumberFormat="1" applyFont="1" applyFill="1" applyBorder="1" applyAlignment="1">
      <alignment horizontal="center" vertical="top" wrapText="1"/>
    </xf>
    <xf numFmtId="0" fontId="44" fillId="45" borderId="14" xfId="0" applyFont="1" applyFill="1" applyBorder="1" applyAlignment="1">
      <alignment vertical="top" wrapText="1"/>
    </xf>
    <xf numFmtId="0" fontId="69" fillId="45" borderId="14" xfId="0" applyFont="1" applyFill="1" applyBorder="1" applyAlignment="1">
      <alignment vertical="top" wrapText="1"/>
    </xf>
    <xf numFmtId="4" fontId="38" fillId="45" borderId="14" xfId="93" applyNumberFormat="1" applyFont="1" applyFill="1" applyBorder="1" applyAlignment="1">
      <alignment horizontal="center" vertical="top"/>
      <protection/>
    </xf>
    <xf numFmtId="4" fontId="37" fillId="45" borderId="14" xfId="93" applyNumberFormat="1" applyFont="1" applyFill="1" applyBorder="1" applyAlignment="1">
      <alignment horizontal="center" vertical="top"/>
      <protection/>
    </xf>
    <xf numFmtId="0" fontId="44" fillId="45" borderId="20" xfId="0" applyFont="1" applyFill="1" applyBorder="1" applyAlignment="1">
      <alignment horizontal="justify" vertical="top" wrapText="1"/>
    </xf>
    <xf numFmtId="0" fontId="29" fillId="45" borderId="14" xfId="0" applyFont="1" applyFill="1" applyBorder="1" applyAlignment="1">
      <alignment horizontal="center" vertical="top"/>
    </xf>
    <xf numFmtId="49" fontId="44" fillId="45" borderId="16" xfId="0" applyNumberFormat="1" applyFont="1" applyFill="1" applyBorder="1" applyAlignment="1">
      <alignment horizontal="center" vertical="top" wrapText="1"/>
    </xf>
    <xf numFmtId="4" fontId="37" fillId="45" borderId="14" xfId="0" applyNumberFormat="1" applyFont="1" applyFill="1" applyBorder="1" applyAlignment="1">
      <alignment horizontal="center" vertical="top"/>
    </xf>
    <xf numFmtId="3" fontId="29" fillId="47" borderId="14" xfId="0" applyNumberFormat="1" applyFont="1" applyFill="1" applyBorder="1" applyAlignment="1" applyProtection="1">
      <alignment vertical="center" wrapText="1"/>
      <protection/>
    </xf>
    <xf numFmtId="0" fontId="4" fillId="45" borderId="23" xfId="0" applyNumberFormat="1" applyFont="1" applyFill="1" applyBorder="1" applyAlignment="1" applyProtection="1">
      <alignment horizontal="center" vertical="center" wrapText="1"/>
      <protection/>
    </xf>
    <xf numFmtId="0" fontId="0" fillId="45" borderId="0" xfId="0" applyNumberFormat="1" applyFont="1" applyFill="1" applyAlignment="1" applyProtection="1">
      <alignment/>
      <protection/>
    </xf>
    <xf numFmtId="0" fontId="32" fillId="45" borderId="0" xfId="0" applyNumberFormat="1" applyFont="1" applyFill="1" applyAlignment="1" applyProtection="1">
      <alignment horizontal="left" vertical="center" wrapText="1"/>
      <protection/>
    </xf>
    <xf numFmtId="0" fontId="0" fillId="45" borderId="0" xfId="0" applyFill="1" applyAlignment="1">
      <alignment/>
    </xf>
    <xf numFmtId="0" fontId="0" fillId="45" borderId="15" xfId="0" applyNumberFormat="1" applyFont="1" applyFill="1" applyBorder="1" applyAlignment="1" applyProtection="1">
      <alignment horizontal="right" vertical="center"/>
      <protection/>
    </xf>
    <xf numFmtId="0" fontId="22" fillId="45" borderId="0" xfId="0" applyNumberFormat="1" applyFont="1" applyFill="1" applyAlignment="1" applyProtection="1">
      <alignment/>
      <protection/>
    </xf>
    <xf numFmtId="0" fontId="22" fillId="45" borderId="0" xfId="0" applyFont="1" applyFill="1" applyAlignment="1">
      <alignment/>
    </xf>
    <xf numFmtId="0" fontId="23" fillId="45" borderId="14" xfId="0" applyNumberFormat="1" applyFont="1" applyFill="1" applyBorder="1" applyAlignment="1" applyProtection="1">
      <alignment horizontal="center" vertical="center" wrapText="1"/>
      <protection/>
    </xf>
    <xf numFmtId="0" fontId="21" fillId="45" borderId="14" xfId="0" applyNumberFormat="1" applyFont="1" applyFill="1" applyBorder="1" applyAlignment="1" applyProtection="1">
      <alignment horizontal="center" vertical="center" wrapText="1"/>
      <protection/>
    </xf>
    <xf numFmtId="0" fontId="30" fillId="45" borderId="14" xfId="0" applyNumberFormat="1" applyFont="1" applyFill="1" applyBorder="1" applyAlignment="1" applyProtection="1">
      <alignment vertical="center"/>
      <protection/>
    </xf>
    <xf numFmtId="0" fontId="23" fillId="45" borderId="14" xfId="0" applyNumberFormat="1" applyFont="1" applyFill="1" applyBorder="1" applyAlignment="1" applyProtection="1">
      <alignment vertical="center"/>
      <protection/>
    </xf>
    <xf numFmtId="200" fontId="33" fillId="45" borderId="14" xfId="0" applyNumberFormat="1" applyFont="1" applyFill="1" applyBorder="1" applyAlignment="1" applyProtection="1">
      <alignment horizontal="right" vertical="center"/>
      <protection/>
    </xf>
    <xf numFmtId="200" fontId="42" fillId="45" borderId="14" xfId="0" applyNumberFormat="1" applyFont="1" applyFill="1" applyBorder="1" applyAlignment="1">
      <alignment horizontal="right" vertical="center"/>
    </xf>
    <xf numFmtId="0" fontId="43" fillId="45" borderId="14" xfId="0" applyNumberFormat="1" applyFont="1" applyFill="1" applyBorder="1" applyAlignment="1" applyProtection="1">
      <alignment horizontal="right"/>
      <protection/>
    </xf>
    <xf numFmtId="0" fontId="0" fillId="45" borderId="0" xfId="0" applyFont="1" applyFill="1" applyAlignment="1" applyProtection="1">
      <alignment/>
      <protection/>
    </xf>
    <xf numFmtId="0" fontId="30" fillId="45" borderId="14" xfId="0" applyNumberFormat="1" applyFont="1" applyFill="1" applyBorder="1" applyAlignment="1" applyProtection="1">
      <alignment horizontal="left" vertical="top"/>
      <protection/>
    </xf>
    <xf numFmtId="0" fontId="30" fillId="45" borderId="14" xfId="0" applyNumberFormat="1" applyFont="1" applyFill="1" applyBorder="1" applyAlignment="1" applyProtection="1">
      <alignment vertical="top" wrapText="1"/>
      <protection/>
    </xf>
    <xf numFmtId="3" fontId="23" fillId="45" borderId="14" xfId="0" applyNumberFormat="1" applyFont="1" applyFill="1" applyBorder="1" applyAlignment="1" applyProtection="1">
      <alignment horizontal="right" vertical="top"/>
      <protection/>
    </xf>
    <xf numFmtId="0" fontId="0" fillId="45" borderId="0" xfId="0" applyNumberFormat="1" applyFont="1" applyFill="1" applyAlignment="1" applyProtection="1">
      <alignment vertical="top"/>
      <protection/>
    </xf>
    <xf numFmtId="0" fontId="0" fillId="45" borderId="0" xfId="0" applyFill="1" applyAlignment="1">
      <alignment vertical="top"/>
    </xf>
    <xf numFmtId="0" fontId="36" fillId="45" borderId="14" xfId="0" applyNumberFormat="1" applyFont="1" applyFill="1" applyBorder="1" applyAlignment="1" applyProtection="1">
      <alignment horizontal="left" vertical="top"/>
      <protection/>
    </xf>
    <xf numFmtId="0" fontId="36" fillId="45" borderId="14" xfId="0" applyNumberFormat="1" applyFont="1" applyFill="1" applyBorder="1" applyAlignment="1" applyProtection="1">
      <alignment vertical="top" wrapText="1"/>
      <protection/>
    </xf>
    <xf numFmtId="3" fontId="44" fillId="45" borderId="14" xfId="0" applyNumberFormat="1" applyFont="1" applyFill="1" applyBorder="1" applyAlignment="1" applyProtection="1">
      <alignment horizontal="right" vertical="top"/>
      <protection/>
    </xf>
    <xf numFmtId="0" fontId="0" fillId="45" borderId="0" xfId="0" applyFont="1" applyFill="1" applyAlignment="1">
      <alignment vertical="top"/>
    </xf>
    <xf numFmtId="0" fontId="32" fillId="45" borderId="14" xfId="0" applyNumberFormat="1" applyFont="1" applyFill="1" applyBorder="1" applyAlignment="1" applyProtection="1">
      <alignment horizontal="left" vertical="top"/>
      <protection/>
    </xf>
    <xf numFmtId="0" fontId="32" fillId="45" borderId="14" xfId="0" applyNumberFormat="1" applyFont="1" applyFill="1" applyBorder="1" applyAlignment="1" applyProtection="1">
      <alignment vertical="top" wrapText="1"/>
      <protection/>
    </xf>
    <xf numFmtId="3" fontId="29" fillId="45" borderId="14" xfId="0" applyNumberFormat="1" applyFont="1" applyFill="1" applyBorder="1" applyAlignment="1" applyProtection="1">
      <alignment horizontal="right" vertical="top"/>
      <protection/>
    </xf>
    <xf numFmtId="3" fontId="38" fillId="45" borderId="14" xfId="0" applyNumberFormat="1" applyFont="1" applyFill="1" applyBorder="1" applyAlignment="1">
      <alignment horizontal="right" vertical="center"/>
    </xf>
    <xf numFmtId="0" fontId="32" fillId="45" borderId="14" xfId="0" applyFont="1" applyFill="1" applyBorder="1" applyAlignment="1">
      <alignment horizontal="left"/>
    </xf>
    <xf numFmtId="3" fontId="38" fillId="45" borderId="14" xfId="0" applyNumberFormat="1" applyFont="1" applyFill="1" applyBorder="1" applyAlignment="1">
      <alignment horizontal="right" vertical="top" wrapText="1"/>
    </xf>
    <xf numFmtId="0" fontId="36" fillId="45" borderId="14" xfId="0" applyFont="1" applyFill="1" applyBorder="1" applyAlignment="1">
      <alignment horizontal="left"/>
    </xf>
    <xf numFmtId="3" fontId="40" fillId="45" borderId="14" xfId="0" applyNumberFormat="1" applyFont="1" applyFill="1" applyBorder="1" applyAlignment="1">
      <alignment horizontal="right" vertical="center"/>
    </xf>
    <xf numFmtId="0" fontId="32" fillId="45" borderId="0" xfId="0" applyFont="1" applyFill="1" applyBorder="1" applyAlignment="1">
      <alignment/>
    </xf>
    <xf numFmtId="0" fontId="32" fillId="45" borderId="0" xfId="0" applyFont="1" applyFill="1" applyBorder="1" applyAlignment="1">
      <alignment wrapText="1"/>
    </xf>
    <xf numFmtId="0" fontId="29" fillId="45" borderId="0" xfId="0" applyNumberFormat="1" applyFont="1" applyFill="1" applyAlignment="1" applyProtection="1">
      <alignment horizontal="left" vertical="center" wrapText="1"/>
      <protection/>
    </xf>
    <xf numFmtId="0" fontId="23" fillId="45" borderId="0" xfId="0" applyNumberFormat="1" applyFont="1" applyFill="1" applyAlignment="1" applyProtection="1">
      <alignment/>
      <protection/>
    </xf>
    <xf numFmtId="0" fontId="21" fillId="45" borderId="0" xfId="0" applyNumberFormat="1" applyFont="1" applyFill="1" applyAlignment="1" applyProtection="1">
      <alignment/>
      <protection/>
    </xf>
    <xf numFmtId="3" fontId="23" fillId="45" borderId="0" xfId="0" applyNumberFormat="1" applyFont="1" applyFill="1" applyAlignment="1" applyProtection="1">
      <alignment/>
      <protection/>
    </xf>
    <xf numFmtId="3" fontId="0" fillId="45" borderId="0" xfId="0" applyNumberFormat="1" applyFont="1" applyFill="1" applyAlignment="1" applyProtection="1">
      <alignment/>
      <protection/>
    </xf>
    <xf numFmtId="0" fontId="0" fillId="45" borderId="0" xfId="0" applyNumberFormat="1" applyFont="1" applyFill="1" applyAlignment="1" applyProtection="1">
      <alignment horizontal="right"/>
      <protection/>
    </xf>
    <xf numFmtId="49" fontId="0" fillId="45" borderId="0" xfId="0" applyNumberFormat="1" applyFont="1" applyFill="1" applyAlignment="1" applyProtection="1">
      <alignment/>
      <protection/>
    </xf>
    <xf numFmtId="0" fontId="0" fillId="45" borderId="0" xfId="0" applyNumberFormat="1" applyFont="1" applyFill="1" applyAlignment="1" applyProtection="1">
      <alignment/>
      <protection/>
    </xf>
    <xf numFmtId="0" fontId="0" fillId="45" borderId="0" xfId="0" applyNumberFormat="1" applyFont="1" applyFill="1" applyAlignment="1" applyProtection="1">
      <alignment wrapText="1"/>
      <protection/>
    </xf>
    <xf numFmtId="0" fontId="48" fillId="45" borderId="0" xfId="0" applyNumberFormat="1" applyFont="1" applyFill="1" applyAlignment="1" applyProtection="1">
      <alignment horizontal="center" vertical="center" wrapText="1"/>
      <protection/>
    </xf>
    <xf numFmtId="0" fontId="4" fillId="45" borderId="0" xfId="0" applyNumberFormat="1" applyFont="1" applyFill="1" applyAlignment="1" applyProtection="1">
      <alignment horizontal="center" vertical="center" wrapText="1"/>
      <protection/>
    </xf>
    <xf numFmtId="0" fontId="32" fillId="45" borderId="0" xfId="0" applyNumberFormat="1" applyFont="1" applyFill="1" applyAlignment="1" applyProtection="1">
      <alignment horizontal="center" vertical="center" wrapText="1"/>
      <protection/>
    </xf>
    <xf numFmtId="0" fontId="0" fillId="45" borderId="14" xfId="0" applyNumberFormat="1" applyFont="1" applyFill="1" applyBorder="1" applyAlignment="1" applyProtection="1">
      <alignment horizontal="center" vertical="center" wrapText="1"/>
      <protection/>
    </xf>
    <xf numFmtId="49" fontId="30" fillId="45" borderId="14" xfId="0" applyNumberFormat="1" applyFont="1" applyFill="1" applyBorder="1" applyAlignment="1">
      <alignment horizontal="center" vertical="center" wrapText="1"/>
    </xf>
    <xf numFmtId="0" fontId="4" fillId="45" borderId="20" xfId="0" applyNumberFormat="1" applyFont="1" applyFill="1" applyBorder="1" applyAlignment="1" applyProtection="1">
      <alignment horizontal="center" vertical="center" wrapText="1"/>
      <protection/>
    </xf>
    <xf numFmtId="0" fontId="4" fillId="45" borderId="14" xfId="0" applyNumberFormat="1" applyFont="1" applyFill="1" applyBorder="1" applyAlignment="1" applyProtection="1">
      <alignment horizontal="center" vertical="center" wrapText="1"/>
      <protection/>
    </xf>
    <xf numFmtId="0" fontId="30" fillId="45" borderId="14" xfId="0" applyFont="1" applyFill="1" applyBorder="1" applyAlignment="1">
      <alignment horizontal="justify" vertical="center" wrapText="1"/>
    </xf>
    <xf numFmtId="3" fontId="23" fillId="45" borderId="14" xfId="0" applyNumberFormat="1" applyFont="1" applyFill="1" applyBorder="1" applyAlignment="1" applyProtection="1">
      <alignment horizontal="right" vertical="center" wrapText="1"/>
      <protection/>
    </xf>
    <xf numFmtId="0" fontId="0" fillId="45" borderId="14" xfId="0" applyFill="1" applyBorder="1" applyAlignment="1">
      <alignment/>
    </xf>
    <xf numFmtId="3" fontId="23" fillId="45" borderId="14" xfId="93" applyNumberFormat="1" applyFont="1" applyFill="1" applyBorder="1" applyAlignment="1">
      <alignment horizontal="right" vertical="top" wrapText="1"/>
      <protection/>
    </xf>
    <xf numFmtId="0" fontId="30" fillId="45" borderId="14" xfId="0" applyFont="1" applyFill="1" applyBorder="1" applyAlignment="1">
      <alignment horizontal="left" wrapText="1"/>
    </xf>
    <xf numFmtId="0" fontId="30" fillId="45" borderId="14" xfId="0" applyFont="1" applyFill="1" applyBorder="1" applyAlignment="1">
      <alignment horizontal="center" vertical="center" wrapText="1"/>
    </xf>
    <xf numFmtId="0" fontId="32" fillId="45" borderId="14" xfId="0" applyFont="1" applyFill="1" applyBorder="1" applyAlignment="1">
      <alignment horizontal="center" vertical="center" wrapText="1"/>
    </xf>
    <xf numFmtId="49" fontId="30" fillId="45" borderId="14" xfId="0" applyNumberFormat="1" applyFont="1" applyFill="1" applyBorder="1" applyAlignment="1">
      <alignment horizontal="center" vertical="center"/>
    </xf>
    <xf numFmtId="49" fontId="30" fillId="45" borderId="14" xfId="0" applyNumberFormat="1" applyFont="1" applyFill="1" applyBorder="1" applyAlignment="1">
      <alignment horizontal="center"/>
    </xf>
    <xf numFmtId="0" fontId="30" fillId="45" borderId="17" xfId="0" applyFont="1" applyFill="1" applyBorder="1" applyAlignment="1">
      <alignment horizontal="center"/>
    </xf>
    <xf numFmtId="0" fontId="32" fillId="45" borderId="17" xfId="0" applyFont="1" applyFill="1" applyBorder="1" applyAlignment="1">
      <alignment/>
    </xf>
    <xf numFmtId="0" fontId="30" fillId="45" borderId="20" xfId="0" applyFont="1" applyFill="1" applyBorder="1" applyAlignment="1">
      <alignment horizontal="left" wrapText="1"/>
    </xf>
    <xf numFmtId="3" fontId="37" fillId="45" borderId="14" xfId="0" applyNumberFormat="1" applyFont="1" applyFill="1" applyBorder="1" applyAlignment="1">
      <alignment horizontal="right" vertical="center"/>
    </xf>
    <xf numFmtId="49" fontId="32" fillId="45" borderId="0" xfId="0" applyNumberFormat="1" applyFont="1" applyFill="1" applyBorder="1" applyAlignment="1">
      <alignment horizontal="center" vertical="center" wrapText="1"/>
    </xf>
    <xf numFmtId="0" fontId="32" fillId="45" borderId="0" xfId="0" applyFont="1" applyFill="1" applyBorder="1" applyAlignment="1">
      <alignment horizontal="center" vertical="center" wrapText="1"/>
    </xf>
    <xf numFmtId="0" fontId="30" fillId="45" borderId="0" xfId="0" applyFont="1" applyFill="1" applyBorder="1" applyAlignment="1">
      <alignment horizontal="justify" vertical="center" wrapText="1"/>
    </xf>
    <xf numFmtId="3" fontId="37" fillId="45" borderId="0" xfId="0" applyNumberFormat="1" applyFont="1" applyFill="1" applyBorder="1" applyAlignment="1">
      <alignment horizontal="right" vertical="center"/>
    </xf>
    <xf numFmtId="49" fontId="29" fillId="45" borderId="0" xfId="0" applyNumberFormat="1" applyFont="1" applyFill="1" applyBorder="1" applyAlignment="1" applyProtection="1">
      <alignment horizontal="left" vertical="top" wrapText="1"/>
      <protection/>
    </xf>
    <xf numFmtId="0" fontId="29" fillId="45" borderId="0" xfId="0" applyNumberFormat="1" applyFont="1" applyFill="1" applyBorder="1" applyAlignment="1" applyProtection="1">
      <alignment horizontal="left" vertical="top" wrapText="1"/>
      <protection/>
    </xf>
    <xf numFmtId="0" fontId="23" fillId="45" borderId="0" xfId="0" applyNumberFormat="1" applyFont="1" applyFill="1" applyBorder="1" applyAlignment="1" applyProtection="1">
      <alignment horizontal="left" vertical="top" wrapText="1"/>
      <protection/>
    </xf>
    <xf numFmtId="49" fontId="23" fillId="45" borderId="0" xfId="0" applyNumberFormat="1" applyFont="1" applyFill="1" applyAlignment="1" applyProtection="1">
      <alignment/>
      <protection/>
    </xf>
    <xf numFmtId="49" fontId="29" fillId="45" borderId="0" xfId="0" applyNumberFormat="1" applyFont="1" applyFill="1" applyAlignment="1" applyProtection="1">
      <alignment/>
      <protection/>
    </xf>
    <xf numFmtId="0" fontId="29" fillId="45" borderId="0" xfId="0" applyNumberFormat="1" applyFont="1" applyFill="1" applyAlignment="1" applyProtection="1">
      <alignment/>
      <protection/>
    </xf>
    <xf numFmtId="0" fontId="0" fillId="45" borderId="0" xfId="0" applyNumberFormat="1" applyFont="1" applyFill="1" applyAlignment="1" applyProtection="1">
      <alignment/>
      <protection/>
    </xf>
    <xf numFmtId="49" fontId="33" fillId="45" borderId="0" xfId="0" applyNumberFormat="1" applyFont="1" applyFill="1" applyAlignment="1">
      <alignment/>
    </xf>
    <xf numFmtId="0" fontId="41" fillId="45" borderId="0" xfId="0" applyNumberFormat="1" applyFont="1" applyFill="1" applyAlignment="1" applyProtection="1">
      <alignment/>
      <protection/>
    </xf>
    <xf numFmtId="0" fontId="41" fillId="45" borderId="0" xfId="0" applyNumberFormat="1" applyFont="1" applyFill="1" applyAlignment="1" applyProtection="1">
      <alignment wrapText="1"/>
      <protection/>
    </xf>
    <xf numFmtId="0" fontId="33" fillId="45" borderId="0" xfId="0" applyNumberFormat="1" applyFont="1" applyFill="1" applyAlignment="1" applyProtection="1">
      <alignment/>
      <protection/>
    </xf>
    <xf numFmtId="0" fontId="0" fillId="45" borderId="0" xfId="0" applyNumberFormat="1" applyFont="1" applyFill="1" applyAlignment="1" applyProtection="1">
      <alignment wrapText="1"/>
      <protection/>
    </xf>
    <xf numFmtId="3" fontId="0" fillId="45" borderId="0" xfId="0" applyNumberFormat="1" applyFont="1" applyFill="1" applyAlignment="1" applyProtection="1">
      <alignment/>
      <protection/>
    </xf>
    <xf numFmtId="200" fontId="21" fillId="45" borderId="0" xfId="0" applyNumberFormat="1" applyFont="1" applyFill="1" applyAlignment="1" applyProtection="1">
      <alignment/>
      <protection/>
    </xf>
    <xf numFmtId="49" fontId="0" fillId="45" borderId="0" xfId="0" applyNumberFormat="1" applyFont="1" applyFill="1" applyAlignment="1" applyProtection="1">
      <alignment/>
      <protection/>
    </xf>
    <xf numFmtId="49" fontId="29" fillId="45" borderId="0" xfId="0" applyNumberFormat="1" applyFont="1" applyFill="1" applyAlignment="1" applyProtection="1">
      <alignment horizontal="left" vertical="top"/>
      <protection/>
    </xf>
    <xf numFmtId="0" fontId="29" fillId="45" borderId="0" xfId="0" applyNumberFormat="1" applyFont="1" applyFill="1" applyAlignment="1" applyProtection="1">
      <alignment horizontal="left" vertical="top"/>
      <protection/>
    </xf>
    <xf numFmtId="0" fontId="29" fillId="45" borderId="0" xfId="0" applyNumberFormat="1" applyFont="1" applyFill="1" applyAlignment="1" applyProtection="1">
      <alignment horizontal="left" vertical="top" wrapText="1"/>
      <protection/>
    </xf>
    <xf numFmtId="49" fontId="23" fillId="45" borderId="15" xfId="0" applyNumberFormat="1" applyFont="1" applyFill="1" applyBorder="1" applyAlignment="1" applyProtection="1">
      <alignment horizontal="left" vertical="top"/>
      <protection/>
    </xf>
    <xf numFmtId="0" fontId="23" fillId="45" borderId="15" xfId="0" applyNumberFormat="1" applyFont="1" applyFill="1" applyBorder="1" applyAlignment="1" applyProtection="1">
      <alignment horizontal="left" vertical="top"/>
      <protection/>
    </xf>
    <xf numFmtId="0" fontId="29" fillId="45" borderId="15" xfId="0" applyFont="1" applyFill="1" applyBorder="1" applyAlignment="1">
      <alignment horizontal="left" vertical="top"/>
    </xf>
    <xf numFmtId="0" fontId="29" fillId="45" borderId="0" xfId="0" applyFont="1" applyFill="1" applyBorder="1" applyAlignment="1">
      <alignment horizontal="left" vertical="top"/>
    </xf>
    <xf numFmtId="0" fontId="23" fillId="45" borderId="0" xfId="0" applyNumberFormat="1" applyFont="1" applyFill="1" applyBorder="1" applyAlignment="1" applyProtection="1">
      <alignment horizontal="left" vertical="top"/>
      <protection/>
    </xf>
    <xf numFmtId="0" fontId="29" fillId="45" borderId="15" xfId="0" applyNumberFormat="1" applyFont="1" applyFill="1" applyBorder="1" applyAlignment="1" applyProtection="1">
      <alignment horizontal="left" vertical="top"/>
      <protection/>
    </xf>
    <xf numFmtId="49" fontId="23" fillId="45" borderId="20" xfId="0" applyNumberFormat="1" applyFont="1" applyFill="1" applyBorder="1" applyAlignment="1" applyProtection="1">
      <alignment horizontal="left" vertical="top" wrapText="1"/>
      <protection/>
    </xf>
    <xf numFmtId="0" fontId="23" fillId="45" borderId="20" xfId="0" applyNumberFormat="1" applyFont="1" applyFill="1" applyBorder="1" applyAlignment="1" applyProtection="1">
      <alignment horizontal="left" vertical="top" wrapText="1"/>
      <protection/>
    </xf>
    <xf numFmtId="0" fontId="23" fillId="45" borderId="14" xfId="0" applyNumberFormat="1" applyFont="1" applyFill="1" applyBorder="1" applyAlignment="1" applyProtection="1">
      <alignment horizontal="left" vertical="top" wrapText="1"/>
      <protection/>
    </xf>
    <xf numFmtId="0" fontId="23" fillId="45" borderId="24" xfId="0" applyNumberFormat="1" applyFont="1" applyFill="1" applyBorder="1" applyAlignment="1" applyProtection="1">
      <alignment horizontal="left" vertical="top" wrapText="1"/>
      <protection/>
    </xf>
    <xf numFmtId="49" fontId="30" fillId="45" borderId="14" xfId="0" applyNumberFormat="1" applyFont="1" applyFill="1" applyBorder="1" applyAlignment="1">
      <alignment horizontal="left" vertical="top" wrapText="1"/>
    </xf>
    <xf numFmtId="0" fontId="4" fillId="45" borderId="23" xfId="0" applyNumberFormat="1" applyFont="1" applyFill="1" applyBorder="1" applyAlignment="1" applyProtection="1">
      <alignment horizontal="left" vertical="top" wrapText="1"/>
      <protection/>
    </xf>
    <xf numFmtId="0" fontId="4" fillId="45" borderId="20" xfId="0" applyNumberFormat="1" applyFont="1" applyFill="1" applyBorder="1" applyAlignment="1" applyProtection="1">
      <alignment horizontal="left" vertical="top" wrapText="1"/>
      <protection/>
    </xf>
    <xf numFmtId="0" fontId="4" fillId="45" borderId="14" xfId="0" applyNumberFormat="1" applyFont="1" applyFill="1" applyBorder="1" applyAlignment="1" applyProtection="1">
      <alignment horizontal="left" vertical="top" wrapText="1"/>
      <protection/>
    </xf>
    <xf numFmtId="0" fontId="30" fillId="45" borderId="14" xfId="0" applyFont="1" applyFill="1" applyBorder="1" applyAlignment="1">
      <alignment horizontal="left" vertical="top" wrapText="1"/>
    </xf>
    <xf numFmtId="3" fontId="23" fillId="45" borderId="14" xfId="0" applyNumberFormat="1" applyFont="1" applyFill="1" applyBorder="1" applyAlignment="1" applyProtection="1">
      <alignment horizontal="left" vertical="top" wrapText="1"/>
      <protection/>
    </xf>
    <xf numFmtId="0" fontId="0" fillId="45" borderId="14" xfId="0" applyFill="1" applyBorder="1" applyAlignment="1">
      <alignment horizontal="left" vertical="top"/>
    </xf>
    <xf numFmtId="3" fontId="37" fillId="45" borderId="14" xfId="93" applyNumberFormat="1" applyFont="1" applyFill="1" applyBorder="1" applyAlignment="1">
      <alignment horizontal="left" vertical="top"/>
      <protection/>
    </xf>
    <xf numFmtId="0" fontId="30" fillId="45" borderId="17" xfId="0" applyFont="1" applyFill="1" applyBorder="1" applyAlignment="1">
      <alignment horizontal="center" vertical="center"/>
    </xf>
    <xf numFmtId="200" fontId="38" fillId="45" borderId="14" xfId="0" applyNumberFormat="1" applyFont="1" applyFill="1" applyBorder="1" applyAlignment="1">
      <alignment horizontal="left" vertical="top"/>
    </xf>
    <xf numFmtId="3" fontId="37" fillId="45" borderId="14" xfId="0" applyNumberFormat="1" applyFont="1" applyFill="1" applyBorder="1" applyAlignment="1">
      <alignment horizontal="center" vertical="center"/>
    </xf>
    <xf numFmtId="49" fontId="29" fillId="45" borderId="0" xfId="0" applyNumberFormat="1" applyFont="1" applyFill="1" applyBorder="1" applyAlignment="1">
      <alignment horizontal="left" vertical="top" wrapText="1"/>
    </xf>
    <xf numFmtId="0" fontId="29" fillId="45" borderId="0" xfId="0" applyFont="1" applyFill="1" applyBorder="1" applyAlignment="1">
      <alignment horizontal="left" vertical="top" wrapText="1"/>
    </xf>
    <xf numFmtId="0" fontId="23" fillId="45" borderId="0" xfId="0" applyFont="1" applyFill="1" applyBorder="1" applyAlignment="1">
      <alignment horizontal="left" vertical="top" wrapText="1"/>
    </xf>
    <xf numFmtId="200" fontId="38" fillId="45" borderId="0" xfId="0" applyNumberFormat="1" applyFont="1" applyFill="1" applyBorder="1" applyAlignment="1">
      <alignment horizontal="left" vertical="top"/>
    </xf>
    <xf numFmtId="3" fontId="37" fillId="45" borderId="0" xfId="0" applyNumberFormat="1" applyFont="1" applyFill="1" applyBorder="1" applyAlignment="1">
      <alignment horizontal="left" vertical="top"/>
    </xf>
    <xf numFmtId="49" fontId="23" fillId="45" borderId="0" xfId="0" applyNumberFormat="1" applyFont="1" applyFill="1" applyAlignment="1" applyProtection="1">
      <alignment horizontal="left" vertical="top"/>
      <protection/>
    </xf>
    <xf numFmtId="0" fontId="23" fillId="45" borderId="0" xfId="0" applyNumberFormat="1" applyFont="1" applyFill="1" applyAlignment="1" applyProtection="1">
      <alignment horizontal="left" vertical="top"/>
      <protection/>
    </xf>
    <xf numFmtId="0" fontId="21" fillId="45" borderId="0" xfId="0" applyNumberFormat="1" applyFont="1" applyFill="1" applyAlignment="1" applyProtection="1">
      <alignment horizontal="left" vertical="top"/>
      <protection/>
    </xf>
    <xf numFmtId="0" fontId="23" fillId="45" borderId="0" xfId="0" applyFont="1" applyFill="1" applyAlignment="1">
      <alignment horizontal="left" vertical="top"/>
    </xf>
    <xf numFmtId="49" fontId="23" fillId="45" borderId="0" xfId="0" applyNumberFormat="1" applyFont="1" applyFill="1" applyAlignment="1">
      <alignment horizontal="left" vertical="top"/>
    </xf>
    <xf numFmtId="3" fontId="23" fillId="45" borderId="0" xfId="0" applyNumberFormat="1" applyFont="1" applyFill="1" applyAlignment="1" applyProtection="1">
      <alignment horizontal="left" vertical="top"/>
      <protection/>
    </xf>
    <xf numFmtId="0" fontId="23" fillId="45" borderId="15" xfId="0" applyNumberFormat="1" applyFont="1" applyFill="1" applyBorder="1" applyAlignment="1" applyProtection="1">
      <alignment horizontal="center"/>
      <protection/>
    </xf>
    <xf numFmtId="0" fontId="29" fillId="45" borderId="15" xfId="0" applyFont="1" applyFill="1" applyBorder="1" applyAlignment="1">
      <alignment horizontal="center"/>
    </xf>
    <xf numFmtId="0" fontId="29" fillId="45" borderId="0" xfId="0" applyFont="1" applyFill="1" applyBorder="1" applyAlignment="1">
      <alignment horizontal="center"/>
    </xf>
    <xf numFmtId="0" fontId="23" fillId="45" borderId="0" xfId="0" applyNumberFormat="1" applyFont="1" applyFill="1" applyBorder="1" applyAlignment="1" applyProtection="1">
      <alignment horizontal="center" vertical="top"/>
      <protection/>
    </xf>
    <xf numFmtId="0" fontId="29" fillId="45" borderId="15" xfId="0" applyNumberFormat="1" applyFont="1" applyFill="1" applyBorder="1" applyAlignment="1" applyProtection="1">
      <alignment horizontal="right" vertical="center"/>
      <protection/>
    </xf>
    <xf numFmtId="0" fontId="23" fillId="45" borderId="14" xfId="0" applyFont="1" applyFill="1" applyBorder="1" applyAlignment="1">
      <alignment horizontal="center" vertical="center" wrapText="1"/>
    </xf>
    <xf numFmtId="49" fontId="23" fillId="45" borderId="14" xfId="0" applyNumberFormat="1" applyFont="1" applyFill="1" applyBorder="1" applyAlignment="1">
      <alignment horizontal="center" vertical="center" wrapText="1"/>
    </xf>
    <xf numFmtId="0" fontId="29" fillId="45" borderId="23" xfId="0" applyNumberFormat="1" applyFont="1" applyFill="1" applyBorder="1" applyAlignment="1" applyProtection="1">
      <alignment horizontal="center" vertical="top" wrapText="1"/>
      <protection/>
    </xf>
    <xf numFmtId="0" fontId="29" fillId="45" borderId="14" xfId="0" applyNumberFormat="1" applyFont="1" applyFill="1" applyBorder="1" applyAlignment="1" applyProtection="1">
      <alignment horizontal="center" vertical="top" wrapText="1"/>
      <protection/>
    </xf>
    <xf numFmtId="3" fontId="23" fillId="45" borderId="14" xfId="0" applyNumberFormat="1" applyFont="1" applyFill="1" applyBorder="1" applyAlignment="1" applyProtection="1">
      <alignment horizontal="center" vertical="top" wrapText="1"/>
      <protection/>
    </xf>
    <xf numFmtId="49" fontId="23" fillId="45" borderId="14" xfId="0" applyNumberFormat="1" applyFont="1" applyFill="1" applyBorder="1" applyAlignment="1">
      <alignment horizontal="center" vertical="top" wrapText="1"/>
    </xf>
    <xf numFmtId="200" fontId="38" fillId="45" borderId="14" xfId="93" applyNumberFormat="1" applyFont="1" applyFill="1" applyBorder="1" applyAlignment="1">
      <alignment vertical="top"/>
      <protection/>
    </xf>
    <xf numFmtId="49" fontId="23" fillId="45" borderId="14" xfId="0" applyNumberFormat="1" applyFont="1" applyFill="1" applyBorder="1" applyAlignment="1">
      <alignment horizontal="center" vertical="center"/>
    </xf>
    <xf numFmtId="0" fontId="23" fillId="45" borderId="17" xfId="0" applyFont="1" applyFill="1" applyBorder="1" applyAlignment="1">
      <alignment horizontal="center" vertical="top"/>
    </xf>
    <xf numFmtId="0" fontId="29" fillId="45" borderId="14" xfId="0" applyFont="1" applyFill="1" applyBorder="1" applyAlignment="1">
      <alignment horizontal="center" vertical="center" wrapText="1"/>
    </xf>
    <xf numFmtId="0" fontId="23" fillId="45" borderId="14" xfId="0" applyFont="1" applyFill="1" applyBorder="1" applyAlignment="1">
      <alignment horizontal="justify" vertical="top" wrapText="1"/>
    </xf>
    <xf numFmtId="200" fontId="38" fillId="45" borderId="14" xfId="0" applyNumberFormat="1" applyFont="1" applyFill="1" applyBorder="1" applyAlignment="1">
      <alignment vertical="top"/>
    </xf>
    <xf numFmtId="4" fontId="38" fillId="45" borderId="14" xfId="0" applyNumberFormat="1" applyFont="1" applyFill="1" applyBorder="1" applyAlignment="1">
      <alignment horizontal="center" vertical="top"/>
    </xf>
    <xf numFmtId="0" fontId="29" fillId="45" borderId="0" xfId="0" applyFont="1" applyFill="1" applyBorder="1" applyAlignment="1">
      <alignment horizontal="center" vertical="center" wrapText="1"/>
    </xf>
    <xf numFmtId="49" fontId="29" fillId="45" borderId="0" xfId="0" applyNumberFormat="1" applyFont="1" applyFill="1" applyBorder="1" applyAlignment="1">
      <alignment horizontal="center" vertical="center" wrapText="1"/>
    </xf>
    <xf numFmtId="0" fontId="23" fillId="45" borderId="0" xfId="0" applyFont="1" applyFill="1" applyBorder="1" applyAlignment="1">
      <alignment horizontal="justify" vertical="center" wrapText="1"/>
    </xf>
    <xf numFmtId="200" fontId="38" fillId="45" borderId="0" xfId="0" applyNumberFormat="1" applyFont="1" applyFill="1" applyBorder="1" applyAlignment="1">
      <alignment vertical="justify"/>
    </xf>
    <xf numFmtId="200" fontId="37" fillId="45" borderId="0" xfId="93" applyNumberFormat="1" applyFont="1" applyFill="1" applyBorder="1">
      <alignment vertical="top"/>
      <protection/>
    </xf>
    <xf numFmtId="0" fontId="6" fillId="45" borderId="0" xfId="0" applyNumberFormat="1" applyFont="1" applyFill="1" applyBorder="1" applyAlignment="1" applyProtection="1">
      <alignment horizontal="center"/>
      <protection/>
    </xf>
    <xf numFmtId="0" fontId="0" fillId="45" borderId="0" xfId="0" applyFont="1" applyFill="1" applyBorder="1" applyAlignment="1">
      <alignment horizontal="center"/>
    </xf>
    <xf numFmtId="0" fontId="29" fillId="45" borderId="14" xfId="0" applyNumberFormat="1" applyFont="1" applyFill="1" applyBorder="1" applyAlignment="1" applyProtection="1">
      <alignment horizontal="left" vertical="top" wrapText="1"/>
      <protection/>
    </xf>
    <xf numFmtId="0" fontId="21" fillId="45" borderId="0" xfId="0" applyNumberFormat="1" applyFont="1" applyFill="1" applyAlignment="1" applyProtection="1">
      <alignment vertical="center"/>
      <protection/>
    </xf>
    <xf numFmtId="0" fontId="21" fillId="45" borderId="0" xfId="0" applyFont="1" applyFill="1" applyAlignment="1">
      <alignment vertical="center"/>
    </xf>
    <xf numFmtId="0" fontId="0" fillId="45" borderId="0" xfId="0" applyNumberFormat="1" applyFont="1" applyFill="1" applyAlignment="1" applyProtection="1">
      <alignment vertical="center"/>
      <protection/>
    </xf>
    <xf numFmtId="0" fontId="0" fillId="45" borderId="0" xfId="0" applyFont="1" applyFill="1" applyAlignment="1">
      <alignment vertical="center"/>
    </xf>
    <xf numFmtId="0" fontId="69" fillId="45" borderId="14" xfId="0" applyFont="1" applyFill="1" applyBorder="1" applyAlignment="1">
      <alignment horizontal="center" vertical="top" wrapText="1" shrinkToFit="1"/>
    </xf>
    <xf numFmtId="200" fontId="49" fillId="45" borderId="0" xfId="0" applyNumberFormat="1" applyFont="1" applyFill="1" applyBorder="1" applyAlignment="1">
      <alignment vertical="justify"/>
    </xf>
    <xf numFmtId="0" fontId="29" fillId="45" borderId="0" xfId="0" applyNumberFormat="1" applyFont="1" applyFill="1" applyBorder="1" applyAlignment="1" applyProtection="1">
      <alignment horizontal="center" vertical="top" wrapText="1"/>
      <protection/>
    </xf>
    <xf numFmtId="0" fontId="29" fillId="45" borderId="0" xfId="0" applyNumberFormat="1" applyFont="1" applyFill="1" applyAlignment="1" applyProtection="1">
      <alignment horizontal="left" vertical="center" wrapText="1"/>
      <protection/>
    </xf>
    <xf numFmtId="0" fontId="31" fillId="45" borderId="0" xfId="0" applyNumberFormat="1" applyFont="1" applyFill="1" applyAlignment="1" applyProtection="1">
      <alignment horizontal="center" vertical="center"/>
      <protection/>
    </xf>
    <xf numFmtId="0" fontId="32" fillId="45" borderId="0" xfId="0" applyNumberFormat="1" applyFont="1" applyFill="1" applyAlignment="1" applyProtection="1">
      <alignment horizontal="left" vertical="center" wrapText="1"/>
      <protection/>
    </xf>
    <xf numFmtId="0" fontId="4" fillId="45" borderId="15" xfId="0" applyNumberFormat="1" applyFont="1" applyFill="1" applyBorder="1" applyAlignment="1" applyProtection="1">
      <alignment vertical="center"/>
      <protection/>
    </xf>
    <xf numFmtId="0" fontId="23" fillId="45" borderId="14" xfId="0" applyNumberFormat="1" applyFont="1" applyFill="1" applyBorder="1" applyAlignment="1" applyProtection="1">
      <alignment horizontal="center" vertical="center" wrapText="1"/>
      <protection/>
    </xf>
    <xf numFmtId="0" fontId="29" fillId="45" borderId="0" xfId="0" applyNumberFormat="1" applyFont="1" applyFill="1" applyBorder="1" applyAlignment="1" applyProtection="1">
      <alignment horizontal="left" vertical="top" wrapText="1"/>
      <protection/>
    </xf>
    <xf numFmtId="0" fontId="0" fillId="45" borderId="14" xfId="0" applyNumberFormat="1" applyFont="1" applyFill="1" applyBorder="1" applyAlignment="1" applyProtection="1">
      <alignment horizontal="center" vertical="center" wrapText="1"/>
      <protection/>
    </xf>
    <xf numFmtId="0" fontId="29" fillId="45" borderId="14" xfId="0" applyNumberFormat="1" applyFont="1" applyFill="1" applyBorder="1" applyAlignment="1" applyProtection="1">
      <alignment horizontal="center" vertical="center" wrapText="1"/>
      <protection/>
    </xf>
    <xf numFmtId="0" fontId="5" fillId="45" borderId="14" xfId="0" applyNumberFormat="1" applyFont="1" applyFill="1" applyBorder="1" applyAlignment="1" applyProtection="1">
      <alignment horizontal="center" vertical="center" wrapText="1"/>
      <protection/>
    </xf>
    <xf numFmtId="0" fontId="4" fillId="45" borderId="14" xfId="0" applyNumberFormat="1" applyFont="1" applyFill="1" applyBorder="1" applyAlignment="1" applyProtection="1">
      <alignment horizontal="center" vertical="center" wrapText="1"/>
      <protection/>
    </xf>
    <xf numFmtId="0" fontId="34" fillId="45" borderId="0" xfId="0" applyNumberFormat="1" applyFont="1" applyFill="1" applyBorder="1" applyAlignment="1" applyProtection="1">
      <alignment horizontal="center" vertical="top" wrapText="1"/>
      <protection/>
    </xf>
    <xf numFmtId="0" fontId="6" fillId="45" borderId="0" xfId="0" applyNumberFormat="1" applyFont="1" applyFill="1" applyBorder="1" applyAlignment="1" applyProtection="1">
      <alignment horizontal="center" vertical="top" wrapText="1"/>
      <protection/>
    </xf>
    <xf numFmtId="0" fontId="0" fillId="45" borderId="14" xfId="0" applyNumberFormat="1" applyFont="1" applyFill="1" applyBorder="1" applyAlignment="1" applyProtection="1">
      <alignment horizontal="center" vertical="center" wrapText="1"/>
      <protection/>
    </xf>
    <xf numFmtId="0" fontId="21" fillId="45" borderId="14" xfId="0" applyNumberFormat="1" applyFont="1" applyFill="1" applyBorder="1" applyAlignment="1" applyProtection="1">
      <alignment horizontal="center" vertical="center" wrapText="1"/>
      <protection/>
    </xf>
    <xf numFmtId="0" fontId="0" fillId="45" borderId="14" xfId="0" applyNumberFormat="1" applyFont="1" applyFill="1" applyBorder="1" applyAlignment="1" applyProtection="1">
      <alignment horizontal="center" vertical="center" wrapText="1"/>
      <protection/>
    </xf>
    <xf numFmtId="49" fontId="4" fillId="45" borderId="19" xfId="0" applyNumberFormat="1" applyFont="1" applyFill="1" applyBorder="1" applyAlignment="1" applyProtection="1">
      <alignment horizontal="center" vertical="center" wrapText="1"/>
      <protection/>
    </xf>
    <xf numFmtId="49" fontId="4" fillId="45" borderId="23" xfId="0" applyNumberFormat="1" applyFont="1" applyFill="1" applyBorder="1" applyAlignment="1" applyProtection="1">
      <alignment horizontal="center" vertical="center" wrapText="1"/>
      <protection/>
    </xf>
    <xf numFmtId="49" fontId="4" fillId="45" borderId="20" xfId="0" applyNumberFormat="1" applyFont="1" applyFill="1" applyBorder="1" applyAlignment="1" applyProtection="1">
      <alignment horizontal="center" vertical="center" wrapText="1"/>
      <protection/>
    </xf>
    <xf numFmtId="0" fontId="4" fillId="45" borderId="19" xfId="0" applyNumberFormat="1" applyFont="1" applyFill="1" applyBorder="1" applyAlignment="1" applyProtection="1">
      <alignment horizontal="center" vertical="center" wrapText="1"/>
      <protection/>
    </xf>
    <xf numFmtId="0" fontId="4" fillId="45" borderId="23" xfId="0" applyNumberFormat="1" applyFont="1" applyFill="1" applyBorder="1" applyAlignment="1" applyProtection="1">
      <alignment horizontal="center" vertical="center" wrapText="1"/>
      <protection/>
    </xf>
    <xf numFmtId="0" fontId="4" fillId="45" borderId="20" xfId="0" applyNumberFormat="1" applyFont="1" applyFill="1" applyBorder="1" applyAlignment="1" applyProtection="1">
      <alignment horizontal="center" vertical="center" wrapText="1"/>
      <protection/>
    </xf>
    <xf numFmtId="0" fontId="4" fillId="45" borderId="19" xfId="0" applyNumberFormat="1" applyFont="1" applyFill="1" applyBorder="1" applyAlignment="1" applyProtection="1">
      <alignment horizontal="center" vertical="center" wrapText="1"/>
      <protection/>
    </xf>
    <xf numFmtId="0" fontId="4" fillId="45" borderId="23" xfId="0" applyNumberFormat="1" applyFont="1" applyFill="1" applyBorder="1" applyAlignment="1" applyProtection="1">
      <alignment horizontal="center" vertical="center" wrapText="1"/>
      <protection/>
    </xf>
    <xf numFmtId="0" fontId="23" fillId="45" borderId="0" xfId="0" applyNumberFormat="1" applyFont="1" applyFill="1" applyBorder="1" applyAlignment="1" applyProtection="1">
      <alignment horizontal="center" vertical="top" wrapText="1"/>
      <protection/>
    </xf>
    <xf numFmtId="0" fontId="29" fillId="45" borderId="0" xfId="0" applyNumberFormat="1" applyFont="1" applyFill="1" applyAlignment="1" applyProtection="1">
      <alignment horizontal="left" vertical="top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2" xfId="100"/>
    <cellStyle name="Обычный 3 2 2 2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Результат" xfId="110"/>
    <cellStyle name="Связанная ячейка" xfId="111"/>
    <cellStyle name="Середній" xfId="112"/>
    <cellStyle name="Стиль 1" xfId="113"/>
    <cellStyle name="Текст пояснення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S102"/>
  <sheetViews>
    <sheetView showGridLines="0" showZeros="0" view="pageBreakPreview" zoomScaleSheetLayoutView="100" workbookViewId="0" topLeftCell="A91">
      <selection activeCell="A91" sqref="A1:IV16384"/>
    </sheetView>
  </sheetViews>
  <sheetFormatPr defaultColWidth="9.16015625" defaultRowHeight="12.75"/>
  <cols>
    <col min="1" max="1" width="15.83203125" style="5" customWidth="1"/>
    <col min="2" max="2" width="64.33203125" style="15" customWidth="1"/>
    <col min="3" max="3" width="19.16015625" style="6" customWidth="1"/>
    <col min="4" max="4" width="20.66015625" style="6" customWidth="1"/>
    <col min="5" max="5" width="23" style="6" customWidth="1"/>
    <col min="6" max="6" width="31" style="6" customWidth="1"/>
    <col min="7" max="12" width="9.16015625" style="5" customWidth="1"/>
    <col min="13" max="244" width="9.16015625" style="7" customWidth="1"/>
    <col min="245" max="253" width="9.16015625" style="5" customWidth="1"/>
    <col min="254" max="16384" width="9.16015625" style="7" customWidth="1"/>
  </cols>
  <sheetData>
    <row r="1" spans="3:13" ht="90.75" customHeight="1">
      <c r="C1" s="7"/>
      <c r="D1" s="7"/>
      <c r="F1" s="60" t="s">
        <v>410</v>
      </c>
      <c r="G1" s="62"/>
      <c r="H1" s="62"/>
      <c r="M1" s="5"/>
    </row>
    <row r="2" spans="3:13" ht="11.25" customHeight="1">
      <c r="C2" s="62"/>
      <c r="D2" s="62"/>
      <c r="E2" s="62"/>
      <c r="F2" s="62"/>
      <c r="M2" s="5"/>
    </row>
    <row r="3" spans="2:5" ht="15.75">
      <c r="B3" s="127" t="s">
        <v>166</v>
      </c>
      <c r="C3" s="112"/>
      <c r="D3" s="112"/>
      <c r="E3" s="112"/>
    </row>
    <row r="4" spans="2:6" ht="15.75">
      <c r="B4" s="66"/>
      <c r="C4" s="8"/>
      <c r="D4" s="8"/>
      <c r="E4" s="8"/>
      <c r="F4" s="63" t="s">
        <v>61</v>
      </c>
    </row>
    <row r="5" spans="1:6" ht="44.25" customHeight="1">
      <c r="A5" s="1" t="s">
        <v>0</v>
      </c>
      <c r="B5" s="1" t="s">
        <v>6</v>
      </c>
      <c r="C5" s="4" t="s">
        <v>22</v>
      </c>
      <c r="D5" s="4" t="s">
        <v>19</v>
      </c>
      <c r="E5" s="4" t="s">
        <v>411</v>
      </c>
      <c r="F5" s="4" t="s">
        <v>29</v>
      </c>
    </row>
    <row r="6" spans="1:5" ht="15.75">
      <c r="A6" s="1"/>
      <c r="B6" s="1"/>
      <c r="C6" s="4"/>
      <c r="D6" s="4"/>
      <c r="E6" s="4"/>
    </row>
    <row r="7" spans="1:253" s="12" customFormat="1" ht="15.75">
      <c r="A7" s="1">
        <v>10000000</v>
      </c>
      <c r="B7" s="9" t="s">
        <v>8</v>
      </c>
      <c r="C7" s="10">
        <f>SUM(D7:E7)</f>
        <v>212852193</v>
      </c>
      <c r="D7" s="10">
        <f>D8+D17+D22+D26+D44</f>
        <v>212629993</v>
      </c>
      <c r="E7" s="10">
        <f>E8+E17+E22+E26+E44</f>
        <v>222200</v>
      </c>
      <c r="F7" s="10">
        <f>F8+F17+F22+F26+F44</f>
        <v>0</v>
      </c>
      <c r="G7" s="11"/>
      <c r="H7" s="11"/>
      <c r="I7" s="11"/>
      <c r="J7" s="11"/>
      <c r="K7" s="11"/>
      <c r="L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6" customFormat="1" ht="31.5">
      <c r="A8" s="3">
        <v>11000000</v>
      </c>
      <c r="B8" s="13" t="s">
        <v>9</v>
      </c>
      <c r="C8" s="10">
        <f aca="true" t="shared" si="0" ref="C8:C93">SUM(D8:E8)</f>
        <v>163137398</v>
      </c>
      <c r="D8" s="28">
        <f>SUM(D15+D9)</f>
        <v>163137398</v>
      </c>
      <c r="E8" s="14">
        <f>SUM(E15+E9)</f>
        <v>0</v>
      </c>
      <c r="F8" s="17"/>
      <c r="G8" s="15"/>
      <c r="H8" s="15"/>
      <c r="I8" s="15"/>
      <c r="J8" s="15"/>
      <c r="K8" s="15"/>
      <c r="L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6" s="11" customFormat="1" ht="15.75">
      <c r="A9" s="3">
        <v>11010000</v>
      </c>
      <c r="B9" s="13" t="s">
        <v>91</v>
      </c>
      <c r="C9" s="10">
        <f t="shared" si="0"/>
        <v>163104398</v>
      </c>
      <c r="D9" s="48">
        <f>SUM(D10:D14)</f>
        <v>163104398</v>
      </c>
      <c r="E9" s="31"/>
      <c r="F9" s="31"/>
    </row>
    <row r="10" spans="1:6" s="11" customFormat="1" ht="47.25">
      <c r="A10" s="3">
        <v>11010100</v>
      </c>
      <c r="B10" s="85" t="s">
        <v>254</v>
      </c>
      <c r="C10" s="10">
        <f t="shared" si="0"/>
        <v>158897309</v>
      </c>
      <c r="D10" s="48">
        <f>146100000+567416+12229893</f>
        <v>158897309</v>
      </c>
      <c r="E10" s="31"/>
      <c r="F10" s="31"/>
    </row>
    <row r="11" spans="1:6" s="11" customFormat="1" ht="82.5" customHeight="1">
      <c r="A11" s="3">
        <v>11010200</v>
      </c>
      <c r="B11" s="85" t="s">
        <v>255</v>
      </c>
      <c r="C11" s="10">
        <f t="shared" si="0"/>
        <v>2228490</v>
      </c>
      <c r="D11" s="48">
        <f>1950000+278490</f>
        <v>2228490</v>
      </c>
      <c r="E11" s="31"/>
      <c r="F11" s="31"/>
    </row>
    <row r="12" spans="1:6" s="11" customFormat="1" ht="47.25">
      <c r="A12" s="3">
        <v>11010400</v>
      </c>
      <c r="B12" s="85" t="s">
        <v>256</v>
      </c>
      <c r="C12" s="10">
        <f t="shared" si="0"/>
        <v>1202341</v>
      </c>
      <c r="D12" s="48">
        <f>1200000+2341</f>
        <v>1202341</v>
      </c>
      <c r="E12" s="31"/>
      <c r="F12" s="31"/>
    </row>
    <row r="13" spans="1:6" s="11" customFormat="1" ht="47.25">
      <c r="A13" s="3">
        <v>11010500</v>
      </c>
      <c r="B13" s="85" t="s">
        <v>257</v>
      </c>
      <c r="C13" s="10">
        <f t="shared" si="0"/>
        <v>626200</v>
      </c>
      <c r="D13" s="48">
        <f>600000+26200</f>
        <v>626200</v>
      </c>
      <c r="E13" s="31"/>
      <c r="F13" s="31"/>
    </row>
    <row r="14" spans="1:6" s="11" customFormat="1" ht="86.25" customHeight="1">
      <c r="A14" s="3">
        <v>11010900</v>
      </c>
      <c r="B14" s="85" t="s">
        <v>258</v>
      </c>
      <c r="C14" s="10">
        <f t="shared" si="0"/>
        <v>150058</v>
      </c>
      <c r="D14" s="48">
        <f>150000+58</f>
        <v>150058</v>
      </c>
      <c r="E14" s="31"/>
      <c r="F14" s="31"/>
    </row>
    <row r="15" spans="1:6" s="15" customFormat="1" ht="15.75">
      <c r="A15" s="3">
        <v>11020000</v>
      </c>
      <c r="B15" s="13" t="s">
        <v>10</v>
      </c>
      <c r="C15" s="10">
        <f t="shared" si="0"/>
        <v>33000</v>
      </c>
      <c r="D15" s="48">
        <f>SUM(D16)</f>
        <v>33000</v>
      </c>
      <c r="E15" s="31"/>
      <c r="F15" s="31"/>
    </row>
    <row r="16" spans="1:6" s="15" customFormat="1" ht="31.5">
      <c r="A16" s="3">
        <v>11020200</v>
      </c>
      <c r="B16" s="85" t="s">
        <v>259</v>
      </c>
      <c r="C16" s="10">
        <f>SUM(D16:E16)</f>
        <v>33000</v>
      </c>
      <c r="D16" s="48">
        <v>33000</v>
      </c>
      <c r="E16" s="31"/>
      <c r="F16" s="31"/>
    </row>
    <row r="17" spans="1:253" s="16" customFormat="1" ht="31.5">
      <c r="A17" s="3">
        <v>13000000</v>
      </c>
      <c r="B17" s="13" t="s">
        <v>642</v>
      </c>
      <c r="C17" s="10">
        <f t="shared" si="0"/>
        <v>2525000</v>
      </c>
      <c r="D17" s="49">
        <f>SUM(D18:D21)</f>
        <v>2525000</v>
      </c>
      <c r="E17" s="14">
        <f>SUM(E18:E19)</f>
        <v>0</v>
      </c>
      <c r="F17" s="14">
        <f>SUM(F18:F19)</f>
        <v>0</v>
      </c>
      <c r="G17" s="15"/>
      <c r="H17" s="15"/>
      <c r="I17" s="15"/>
      <c r="J17" s="15"/>
      <c r="K17" s="15"/>
      <c r="L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88.5" customHeight="1">
      <c r="A18" s="3">
        <v>13010200</v>
      </c>
      <c r="B18" s="83" t="s">
        <v>92</v>
      </c>
      <c r="C18" s="10">
        <f t="shared" si="0"/>
        <v>1950000</v>
      </c>
      <c r="D18" s="49">
        <v>1950000</v>
      </c>
      <c r="E18" s="14"/>
      <c r="F18" s="17"/>
      <c r="G18" s="15"/>
      <c r="H18" s="15"/>
      <c r="I18" s="15"/>
      <c r="J18" s="15"/>
      <c r="K18" s="15"/>
      <c r="L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36" customHeight="1">
      <c r="A19" s="81">
        <v>13030200</v>
      </c>
      <c r="B19" s="13" t="s">
        <v>93</v>
      </c>
      <c r="C19" s="82">
        <f t="shared" si="0"/>
        <v>315000</v>
      </c>
      <c r="D19" s="49">
        <v>315000</v>
      </c>
      <c r="E19" s="14"/>
      <c r="F19" s="17"/>
      <c r="G19" s="15"/>
      <c r="H19" s="15"/>
      <c r="I19" s="15"/>
      <c r="J19" s="15"/>
      <c r="K19" s="15"/>
      <c r="L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36" customHeight="1">
      <c r="A20" s="113">
        <v>13030800</v>
      </c>
      <c r="B20" s="114" t="s">
        <v>394</v>
      </c>
      <c r="C20" s="82">
        <f t="shared" si="0"/>
        <v>259800</v>
      </c>
      <c r="D20" s="49">
        <v>259800</v>
      </c>
      <c r="E20" s="14"/>
      <c r="F20" s="14"/>
      <c r="G20" s="15"/>
      <c r="H20" s="15"/>
      <c r="I20" s="15"/>
      <c r="J20" s="15"/>
      <c r="K20" s="15"/>
      <c r="L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38.25" customHeight="1">
      <c r="A21" s="81">
        <v>13030900</v>
      </c>
      <c r="B21" s="114" t="s">
        <v>395</v>
      </c>
      <c r="C21" s="82">
        <f t="shared" si="0"/>
        <v>200</v>
      </c>
      <c r="D21" s="49">
        <v>200</v>
      </c>
      <c r="E21" s="14"/>
      <c r="F21" s="17"/>
      <c r="G21" s="15"/>
      <c r="H21" s="15"/>
      <c r="I21" s="15"/>
      <c r="J21" s="15"/>
      <c r="K21" s="15"/>
      <c r="L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15.75">
      <c r="A22" s="81">
        <v>14000000</v>
      </c>
      <c r="B22" s="13" t="s">
        <v>15</v>
      </c>
      <c r="C22" s="82">
        <f t="shared" si="0"/>
        <v>6620600</v>
      </c>
      <c r="D22" s="49">
        <f>SUM(D23:D25)</f>
        <v>6620600</v>
      </c>
      <c r="E22" s="14">
        <f>SUM(E25)</f>
        <v>0</v>
      </c>
      <c r="F22" s="14">
        <f>SUM(F25)</f>
        <v>0</v>
      </c>
      <c r="G22" s="15"/>
      <c r="H22" s="15"/>
      <c r="I22" s="15"/>
      <c r="J22" s="15"/>
      <c r="K22" s="15"/>
      <c r="L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18.75" customHeight="1">
      <c r="A23" s="81">
        <v>14021900</v>
      </c>
      <c r="B23" s="86" t="s">
        <v>260</v>
      </c>
      <c r="C23" s="82">
        <f t="shared" si="0"/>
        <v>900000</v>
      </c>
      <c r="D23" s="49">
        <v>900000</v>
      </c>
      <c r="E23" s="14"/>
      <c r="F23" s="14"/>
      <c r="G23" s="15"/>
      <c r="H23" s="15"/>
      <c r="I23" s="15"/>
      <c r="J23" s="15"/>
      <c r="K23" s="15"/>
      <c r="L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6" customFormat="1" ht="33">
      <c r="A24" s="3">
        <v>14031900</v>
      </c>
      <c r="B24" s="87" t="s">
        <v>261</v>
      </c>
      <c r="C24" s="10">
        <f t="shared" si="0"/>
        <v>3720600</v>
      </c>
      <c r="D24" s="49">
        <v>3720600</v>
      </c>
      <c r="E24" s="14"/>
      <c r="F24" s="17"/>
      <c r="G24" s="15"/>
      <c r="H24" s="15"/>
      <c r="I24" s="15"/>
      <c r="J24" s="15"/>
      <c r="K24" s="15"/>
      <c r="L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6" customFormat="1" ht="47.25">
      <c r="A25" s="3">
        <v>14040000</v>
      </c>
      <c r="B25" s="85" t="s">
        <v>643</v>
      </c>
      <c r="C25" s="10">
        <f t="shared" si="0"/>
        <v>2000000</v>
      </c>
      <c r="D25" s="50">
        <v>2000000</v>
      </c>
      <c r="E25" s="17"/>
      <c r="F25" s="17"/>
      <c r="G25" s="15"/>
      <c r="H25" s="15"/>
      <c r="I25" s="15"/>
      <c r="J25" s="15"/>
      <c r="K25" s="15"/>
      <c r="L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" customFormat="1" ht="15.75">
      <c r="A26" s="3">
        <v>18000000</v>
      </c>
      <c r="B26" s="13" t="s">
        <v>43</v>
      </c>
      <c r="C26" s="10">
        <f t="shared" si="0"/>
        <v>40346995</v>
      </c>
      <c r="D26" s="49">
        <f>SUM(D40+D37+D27)</f>
        <v>40346995</v>
      </c>
      <c r="E26" s="14">
        <f>SUM(E27:E40)</f>
        <v>0</v>
      </c>
      <c r="F26" s="17"/>
      <c r="G26" s="15"/>
      <c r="H26" s="15"/>
      <c r="I26" s="15"/>
      <c r="J26" s="15"/>
      <c r="K26" s="15"/>
      <c r="L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6" customFormat="1" ht="15.75">
      <c r="A27" s="3">
        <v>18010000</v>
      </c>
      <c r="B27" s="13" t="s">
        <v>94</v>
      </c>
      <c r="C27" s="10">
        <f t="shared" si="0"/>
        <v>25753261</v>
      </c>
      <c r="D27" s="49">
        <f>SUM(D28:D36)</f>
        <v>25753261</v>
      </c>
      <c r="E27" s="14"/>
      <c r="F27" s="17"/>
      <c r="G27" s="15"/>
      <c r="H27" s="15"/>
      <c r="I27" s="15"/>
      <c r="J27" s="15"/>
      <c r="K27" s="15"/>
      <c r="L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6" customFormat="1" ht="47.25">
      <c r="A28" s="88">
        <v>18010100</v>
      </c>
      <c r="B28" s="89" t="s">
        <v>262</v>
      </c>
      <c r="C28" s="10">
        <f t="shared" si="0"/>
        <v>49000</v>
      </c>
      <c r="D28" s="49">
        <f>20700+28300</f>
        <v>49000</v>
      </c>
      <c r="E28" s="14"/>
      <c r="F28" s="14"/>
      <c r="G28" s="15"/>
      <c r="H28" s="15"/>
      <c r="I28" s="15"/>
      <c r="J28" s="15"/>
      <c r="K28" s="15"/>
      <c r="L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6" customFormat="1" ht="47.25">
      <c r="A29" s="88">
        <v>18010200</v>
      </c>
      <c r="B29" s="89" t="s">
        <v>263</v>
      </c>
      <c r="C29" s="10">
        <f t="shared" si="0"/>
        <v>457716</v>
      </c>
      <c r="D29" s="49">
        <f>367100+90616</f>
        <v>457716</v>
      </c>
      <c r="E29" s="14"/>
      <c r="F29" s="14"/>
      <c r="G29" s="15"/>
      <c r="H29" s="15"/>
      <c r="I29" s="15"/>
      <c r="J29" s="15"/>
      <c r="K29" s="15"/>
      <c r="L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6" customFormat="1" ht="47.25">
      <c r="A30" s="88">
        <v>18010300</v>
      </c>
      <c r="B30" s="89" t="s">
        <v>264</v>
      </c>
      <c r="C30" s="10">
        <f t="shared" si="0"/>
        <v>246400</v>
      </c>
      <c r="D30" s="49">
        <f>239400+7000</f>
        <v>246400</v>
      </c>
      <c r="E30" s="14"/>
      <c r="F30" s="17"/>
      <c r="G30" s="15"/>
      <c r="H30" s="15"/>
      <c r="I30" s="15"/>
      <c r="J30" s="15"/>
      <c r="K30" s="15"/>
      <c r="L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" customFormat="1" ht="47.25">
      <c r="A31" s="88">
        <v>18010400</v>
      </c>
      <c r="B31" s="89" t="s">
        <v>265</v>
      </c>
      <c r="C31" s="10">
        <f t="shared" si="0"/>
        <v>875145</v>
      </c>
      <c r="D31" s="49">
        <f>802800+72345</f>
        <v>875145</v>
      </c>
      <c r="E31" s="14"/>
      <c r="F31" s="17"/>
      <c r="G31" s="15"/>
      <c r="H31" s="15"/>
      <c r="I31" s="15"/>
      <c r="J31" s="15"/>
      <c r="K31" s="15"/>
      <c r="L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6" customFormat="1" ht="15.75">
      <c r="A32" s="88">
        <v>18010500</v>
      </c>
      <c r="B32" s="90" t="s">
        <v>266</v>
      </c>
      <c r="C32" s="10">
        <f>SUM(D32:E32)</f>
        <v>4285300</v>
      </c>
      <c r="D32" s="49">
        <v>4285300</v>
      </c>
      <c r="E32" s="14"/>
      <c r="F32" s="14"/>
      <c r="G32" s="15"/>
      <c r="H32" s="15"/>
      <c r="I32" s="15"/>
      <c r="J32" s="15"/>
      <c r="K32" s="15"/>
      <c r="L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6" customFormat="1" ht="15.75">
      <c r="A33" s="88">
        <v>18010600</v>
      </c>
      <c r="B33" s="90" t="s">
        <v>267</v>
      </c>
      <c r="C33" s="10">
        <f>SUM(D33:E33)</f>
        <v>11219000</v>
      </c>
      <c r="D33" s="49">
        <v>11219000</v>
      </c>
      <c r="E33" s="14"/>
      <c r="F33" s="14"/>
      <c r="G33" s="15"/>
      <c r="H33" s="15"/>
      <c r="I33" s="15"/>
      <c r="J33" s="15"/>
      <c r="K33" s="15"/>
      <c r="L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" customFormat="1" ht="15.75">
      <c r="A34" s="88">
        <v>18010700</v>
      </c>
      <c r="B34" s="90" t="s">
        <v>268</v>
      </c>
      <c r="C34" s="10">
        <f t="shared" si="0"/>
        <v>1613000</v>
      </c>
      <c r="D34" s="49">
        <v>1613000</v>
      </c>
      <c r="E34" s="14"/>
      <c r="F34" s="14"/>
      <c r="G34" s="15"/>
      <c r="H34" s="15"/>
      <c r="I34" s="15"/>
      <c r="J34" s="15"/>
      <c r="K34" s="15"/>
      <c r="L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6" customFormat="1" ht="15.75">
      <c r="A35" s="88">
        <v>18010900</v>
      </c>
      <c r="B35" s="90" t="s">
        <v>269</v>
      </c>
      <c r="C35" s="10">
        <f t="shared" si="0"/>
        <v>6957700</v>
      </c>
      <c r="D35" s="49">
        <v>6957700</v>
      </c>
      <c r="E35" s="14"/>
      <c r="F35" s="14"/>
      <c r="G35" s="15"/>
      <c r="H35" s="15"/>
      <c r="I35" s="15"/>
      <c r="J35" s="15"/>
      <c r="K35" s="15"/>
      <c r="L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6" customFormat="1" ht="15.75">
      <c r="A36" s="88">
        <v>18011100</v>
      </c>
      <c r="B36" s="90" t="s">
        <v>270</v>
      </c>
      <c r="C36" s="10">
        <f t="shared" si="0"/>
        <v>50000</v>
      </c>
      <c r="D36" s="49">
        <v>50000</v>
      </c>
      <c r="E36" s="14"/>
      <c r="F36" s="14"/>
      <c r="G36" s="15"/>
      <c r="H36" s="15"/>
      <c r="I36" s="15"/>
      <c r="J36" s="15"/>
      <c r="K36" s="15"/>
      <c r="L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6" customFormat="1" ht="15.75">
      <c r="A37" s="3">
        <v>18030000</v>
      </c>
      <c r="B37" s="13" t="s">
        <v>101</v>
      </c>
      <c r="C37" s="10">
        <f t="shared" si="0"/>
        <v>75000</v>
      </c>
      <c r="D37" s="49">
        <f>SUM(D38:D39)</f>
        <v>75000</v>
      </c>
      <c r="E37" s="14"/>
      <c r="F37" s="17"/>
      <c r="G37" s="15"/>
      <c r="H37" s="15"/>
      <c r="I37" s="15"/>
      <c r="J37" s="15"/>
      <c r="K37" s="15"/>
      <c r="L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6" customFormat="1" ht="15.75">
      <c r="A38" s="88" t="s">
        <v>271</v>
      </c>
      <c r="B38" s="90" t="s">
        <v>272</v>
      </c>
      <c r="C38" s="10">
        <f>SUM(D38:E38)</f>
        <v>40000</v>
      </c>
      <c r="D38" s="49">
        <v>40000</v>
      </c>
      <c r="E38" s="14"/>
      <c r="F38" s="14"/>
      <c r="G38" s="15"/>
      <c r="H38" s="15"/>
      <c r="I38" s="15"/>
      <c r="J38" s="15"/>
      <c r="K38" s="15"/>
      <c r="L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6" customFormat="1" ht="15.75">
      <c r="A39" s="88" t="s">
        <v>273</v>
      </c>
      <c r="B39" s="90" t="s">
        <v>274</v>
      </c>
      <c r="C39" s="10">
        <f>SUM(D39:E39)</f>
        <v>35000</v>
      </c>
      <c r="D39" s="49">
        <v>35000</v>
      </c>
      <c r="E39" s="14"/>
      <c r="F39" s="17"/>
      <c r="G39" s="15"/>
      <c r="H39" s="15"/>
      <c r="I39" s="15"/>
      <c r="J39" s="15"/>
      <c r="K39" s="15"/>
      <c r="L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6" customFormat="1" ht="15.75">
      <c r="A40" s="3">
        <v>18050000</v>
      </c>
      <c r="B40" s="13" t="s">
        <v>95</v>
      </c>
      <c r="C40" s="10">
        <f t="shared" si="0"/>
        <v>14518734</v>
      </c>
      <c r="D40" s="49">
        <f>SUM(D41:D43)</f>
        <v>14518734</v>
      </c>
      <c r="E40" s="14"/>
      <c r="F40" s="14"/>
      <c r="G40" s="15"/>
      <c r="H40" s="15"/>
      <c r="I40" s="15"/>
      <c r="J40" s="15"/>
      <c r="K40" s="15"/>
      <c r="L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6" customFormat="1" ht="15.75">
      <c r="A41" s="88" t="s">
        <v>275</v>
      </c>
      <c r="B41" s="89" t="s">
        <v>276</v>
      </c>
      <c r="C41" s="10">
        <f t="shared" si="0"/>
        <v>895115</v>
      </c>
      <c r="D41" s="49">
        <f>729800+165315</f>
        <v>895115</v>
      </c>
      <c r="E41" s="14"/>
      <c r="F41" s="14"/>
      <c r="G41" s="15"/>
      <c r="H41" s="15"/>
      <c r="I41" s="15"/>
      <c r="J41" s="15"/>
      <c r="K41" s="15"/>
      <c r="L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6" customFormat="1" ht="15.75">
      <c r="A42" s="88" t="s">
        <v>277</v>
      </c>
      <c r="B42" s="89" t="s">
        <v>278</v>
      </c>
      <c r="C42" s="10">
        <f t="shared" si="0"/>
        <v>5975915</v>
      </c>
      <c r="D42" s="49">
        <f>5967300+8615</f>
        <v>5975915</v>
      </c>
      <c r="E42" s="14"/>
      <c r="F42" s="14"/>
      <c r="G42" s="15"/>
      <c r="H42" s="15"/>
      <c r="I42" s="15"/>
      <c r="J42" s="15"/>
      <c r="K42" s="15"/>
      <c r="L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6" customFormat="1" ht="99" customHeight="1">
      <c r="A43" s="88">
        <v>18050500</v>
      </c>
      <c r="B43" s="89" t="s">
        <v>279</v>
      </c>
      <c r="C43" s="10">
        <f t="shared" si="0"/>
        <v>7647704</v>
      </c>
      <c r="D43" s="49">
        <f>7612900+34804</f>
        <v>7647704</v>
      </c>
      <c r="E43" s="14"/>
      <c r="F43" s="14"/>
      <c r="G43" s="15"/>
      <c r="H43" s="15"/>
      <c r="I43" s="15"/>
      <c r="J43" s="15"/>
      <c r="K43" s="15"/>
      <c r="L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9" customFormat="1" ht="15.75">
      <c r="A44" s="3">
        <v>19000000</v>
      </c>
      <c r="B44" s="13" t="s">
        <v>11</v>
      </c>
      <c r="C44" s="10">
        <f t="shared" si="0"/>
        <v>222200</v>
      </c>
      <c r="D44" s="50">
        <f>SUM(D45)</f>
        <v>0</v>
      </c>
      <c r="E44" s="17">
        <f>SUM(E45)</f>
        <v>222200</v>
      </c>
      <c r="F44" s="17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15.75">
      <c r="A45" s="3">
        <v>19010000</v>
      </c>
      <c r="B45" s="13" t="s">
        <v>99</v>
      </c>
      <c r="C45" s="10">
        <f t="shared" si="0"/>
        <v>222200</v>
      </c>
      <c r="D45" s="50"/>
      <c r="E45" s="39">
        <f>SUM(E46:E48)</f>
        <v>222200</v>
      </c>
      <c r="F45" s="17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47.25">
      <c r="A46" s="88" t="s">
        <v>280</v>
      </c>
      <c r="B46" s="89" t="s">
        <v>281</v>
      </c>
      <c r="C46" s="10">
        <f t="shared" si="0"/>
        <v>118100</v>
      </c>
      <c r="D46" s="50"/>
      <c r="E46" s="50">
        <f>52600+35100+30400</f>
        <v>118100</v>
      </c>
      <c r="F46" s="17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31.5">
      <c r="A47" s="88" t="s">
        <v>282</v>
      </c>
      <c r="B47" s="89" t="s">
        <v>283</v>
      </c>
      <c r="C47" s="10">
        <f t="shared" si="0"/>
        <v>45300</v>
      </c>
      <c r="D47" s="50"/>
      <c r="E47" s="50">
        <f>22000+14600+8700</f>
        <v>45300</v>
      </c>
      <c r="F47" s="17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72" customHeight="1">
      <c r="A48" s="88" t="s">
        <v>284</v>
      </c>
      <c r="B48" s="89" t="s">
        <v>285</v>
      </c>
      <c r="C48" s="10">
        <f t="shared" si="0"/>
        <v>58800</v>
      </c>
      <c r="D48" s="50"/>
      <c r="E48" s="50">
        <f>26200+17500+15100</f>
        <v>58800</v>
      </c>
      <c r="F48" s="17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6" customFormat="1" ht="15.75">
      <c r="A49" s="1">
        <v>20000000</v>
      </c>
      <c r="B49" s="9" t="s">
        <v>12</v>
      </c>
      <c r="C49" s="10">
        <f t="shared" si="0"/>
        <v>14242709</v>
      </c>
      <c r="D49" s="80">
        <f>SUM(D54+D50+D63+D67)</f>
        <v>6515461</v>
      </c>
      <c r="E49" s="10">
        <f>SUM(E54+E50+E63+E67)</f>
        <v>7727248</v>
      </c>
      <c r="F49" s="10">
        <f>SUM(F54+F50+F63+F67)</f>
        <v>50000</v>
      </c>
      <c r="G49" s="15"/>
      <c r="H49" s="15"/>
      <c r="I49" s="15"/>
      <c r="J49" s="15"/>
      <c r="K49" s="15"/>
      <c r="L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16" customFormat="1" ht="15.75">
      <c r="A50" s="3">
        <v>21000000</v>
      </c>
      <c r="B50" s="13" t="s">
        <v>13</v>
      </c>
      <c r="C50" s="10">
        <f t="shared" si="0"/>
        <v>4544000</v>
      </c>
      <c r="D50" s="49">
        <f>SUM(D51:D53)</f>
        <v>4544000</v>
      </c>
      <c r="E50" s="28">
        <f>SUM(E51:E52)</f>
        <v>0</v>
      </c>
      <c r="F50" s="28">
        <f>SUM(F51:F52)</f>
        <v>0</v>
      </c>
      <c r="G50" s="15"/>
      <c r="H50" s="15"/>
      <c r="I50" s="15"/>
      <c r="J50" s="15"/>
      <c r="K50" s="15"/>
      <c r="L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6" customFormat="1" ht="38.25" customHeight="1">
      <c r="A51" s="3">
        <v>21050000</v>
      </c>
      <c r="B51" s="56" t="s">
        <v>161</v>
      </c>
      <c r="C51" s="10">
        <f t="shared" si="0"/>
        <v>4500000</v>
      </c>
      <c r="D51" s="49">
        <v>4500000</v>
      </c>
      <c r="E51" s="14"/>
      <c r="F51" s="14"/>
      <c r="G51" s="15"/>
      <c r="H51" s="15"/>
      <c r="I51" s="15"/>
      <c r="J51" s="15"/>
      <c r="K51" s="15"/>
      <c r="L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16" customFormat="1" ht="15.75">
      <c r="A52" s="3">
        <v>21081100</v>
      </c>
      <c r="B52" s="13" t="s">
        <v>96</v>
      </c>
      <c r="C52" s="10">
        <f t="shared" si="0"/>
        <v>38000</v>
      </c>
      <c r="D52" s="28">
        <v>38000</v>
      </c>
      <c r="E52" s="14"/>
      <c r="F52" s="14"/>
      <c r="G52" s="15"/>
      <c r="H52" s="15"/>
      <c r="I52" s="15"/>
      <c r="J52" s="15"/>
      <c r="K52" s="15"/>
      <c r="L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16" customFormat="1" ht="47.25">
      <c r="A53" s="3">
        <v>21081500</v>
      </c>
      <c r="B53" s="183" t="s">
        <v>634</v>
      </c>
      <c r="C53" s="10">
        <f t="shared" si="0"/>
        <v>6000</v>
      </c>
      <c r="D53" s="28">
        <v>6000</v>
      </c>
      <c r="E53" s="14"/>
      <c r="F53" s="14"/>
      <c r="G53" s="15"/>
      <c r="H53" s="15"/>
      <c r="I53" s="15"/>
      <c r="J53" s="15"/>
      <c r="K53" s="15"/>
      <c r="L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16" customFormat="1" ht="36.75" customHeight="1">
      <c r="A54" s="3">
        <v>22000000</v>
      </c>
      <c r="B54" s="13" t="s">
        <v>14</v>
      </c>
      <c r="C54" s="10">
        <f t="shared" si="0"/>
        <v>1829003</v>
      </c>
      <c r="D54" s="28">
        <f>SUM(D60+D56+D55+D57+D58+D59)</f>
        <v>1829003</v>
      </c>
      <c r="E54" s="14"/>
      <c r="F54" s="14"/>
      <c r="G54" s="15"/>
      <c r="H54" s="15"/>
      <c r="I54" s="15"/>
      <c r="J54" s="15"/>
      <c r="K54" s="15"/>
      <c r="L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s="16" customFormat="1" ht="54" customHeight="1">
      <c r="A55" s="3">
        <v>22010300</v>
      </c>
      <c r="B55" s="40" t="s">
        <v>113</v>
      </c>
      <c r="C55" s="10">
        <f t="shared" si="0"/>
        <v>38000</v>
      </c>
      <c r="D55" s="28">
        <v>38000</v>
      </c>
      <c r="E55" s="14"/>
      <c r="F55" s="14"/>
      <c r="G55" s="15"/>
      <c r="H55" s="15"/>
      <c r="I55" s="15"/>
      <c r="J55" s="15"/>
      <c r="K55" s="15"/>
      <c r="L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s="16" customFormat="1" ht="15.75">
      <c r="A56" s="3">
        <v>22012500</v>
      </c>
      <c r="B56" s="13" t="s">
        <v>103</v>
      </c>
      <c r="C56" s="10">
        <f t="shared" si="0"/>
        <v>800803</v>
      </c>
      <c r="D56" s="50">
        <f>563000+237803</f>
        <v>800803</v>
      </c>
      <c r="E56" s="17"/>
      <c r="F56" s="17"/>
      <c r="G56" s="15"/>
      <c r="H56" s="15"/>
      <c r="I56" s="15"/>
      <c r="J56" s="15"/>
      <c r="K56" s="15"/>
      <c r="L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s="16" customFormat="1" ht="38.25" customHeight="1">
      <c r="A57" s="3">
        <v>22012600</v>
      </c>
      <c r="B57" s="64" t="s">
        <v>111</v>
      </c>
      <c r="C57" s="10">
        <f t="shared" si="0"/>
        <v>431000</v>
      </c>
      <c r="D57" s="30">
        <v>431000</v>
      </c>
      <c r="E57" s="17"/>
      <c r="F57" s="17"/>
      <c r="G57" s="15"/>
      <c r="H57" s="15"/>
      <c r="I57" s="15"/>
      <c r="J57" s="15"/>
      <c r="K57" s="15"/>
      <c r="L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6" customFormat="1" ht="126.75" customHeight="1">
      <c r="A58" s="3">
        <v>22012900</v>
      </c>
      <c r="B58" s="40" t="s">
        <v>114</v>
      </c>
      <c r="C58" s="10">
        <f t="shared" si="0"/>
        <v>1700</v>
      </c>
      <c r="D58" s="30">
        <v>1700</v>
      </c>
      <c r="E58" s="17"/>
      <c r="F58" s="17"/>
      <c r="G58" s="15"/>
      <c r="H58" s="15"/>
      <c r="I58" s="15"/>
      <c r="J58" s="15"/>
      <c r="K58" s="15"/>
      <c r="L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6" customFormat="1" ht="52.5" customHeight="1">
      <c r="A59" s="3">
        <v>22080400</v>
      </c>
      <c r="B59" s="13" t="s">
        <v>112</v>
      </c>
      <c r="C59" s="10">
        <f t="shared" si="0"/>
        <v>7500</v>
      </c>
      <c r="D59" s="49">
        <v>7500</v>
      </c>
      <c r="E59" s="17"/>
      <c r="F59" s="17"/>
      <c r="G59" s="15"/>
      <c r="H59" s="15"/>
      <c r="I59" s="15"/>
      <c r="J59" s="15"/>
      <c r="K59" s="15"/>
      <c r="L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16" customFormat="1" ht="15.75">
      <c r="A60" s="3">
        <v>22090000</v>
      </c>
      <c r="B60" s="13" t="s">
        <v>97</v>
      </c>
      <c r="C60" s="10">
        <f t="shared" si="0"/>
        <v>550000</v>
      </c>
      <c r="D60" s="49">
        <f>SUM(D61:D62)</f>
        <v>550000</v>
      </c>
      <c r="E60" s="14"/>
      <c r="F60" s="14"/>
      <c r="G60" s="15"/>
      <c r="H60" s="15"/>
      <c r="I60" s="15"/>
      <c r="J60" s="15"/>
      <c r="K60" s="15"/>
      <c r="L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s="16" customFormat="1" ht="47.25">
      <c r="A61" s="88" t="s">
        <v>286</v>
      </c>
      <c r="B61" s="89" t="s">
        <v>287</v>
      </c>
      <c r="C61" s="10">
        <f t="shared" si="0"/>
        <v>530000</v>
      </c>
      <c r="D61" s="49">
        <v>530000</v>
      </c>
      <c r="E61" s="14"/>
      <c r="F61" s="14"/>
      <c r="G61" s="15"/>
      <c r="H61" s="15"/>
      <c r="I61" s="15"/>
      <c r="J61" s="15"/>
      <c r="K61" s="15"/>
      <c r="L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s="16" customFormat="1" ht="47.25">
      <c r="A62" s="88" t="s">
        <v>288</v>
      </c>
      <c r="B62" s="89" t="s">
        <v>289</v>
      </c>
      <c r="C62" s="10">
        <f t="shared" si="0"/>
        <v>20000</v>
      </c>
      <c r="D62" s="49">
        <v>20000</v>
      </c>
      <c r="E62" s="14"/>
      <c r="F62" s="14"/>
      <c r="G62" s="15"/>
      <c r="H62" s="15"/>
      <c r="I62" s="15"/>
      <c r="J62" s="15"/>
      <c r="K62" s="15"/>
      <c r="L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s="16" customFormat="1" ht="15.75">
      <c r="A63" s="3">
        <v>24000000</v>
      </c>
      <c r="B63" s="13" t="s">
        <v>16</v>
      </c>
      <c r="C63" s="80">
        <f>SUM(C64:C65)</f>
        <v>142458</v>
      </c>
      <c r="D63" s="49">
        <f>SUM(D64:D65)</f>
        <v>142458</v>
      </c>
      <c r="E63" s="14">
        <f>SUM(E64:E66)</f>
        <v>50000</v>
      </c>
      <c r="F63" s="14">
        <f>SUM(F64:F66)</f>
        <v>50000</v>
      </c>
      <c r="G63" s="15"/>
      <c r="H63" s="15"/>
      <c r="I63" s="15"/>
      <c r="J63" s="15"/>
      <c r="K63" s="15"/>
      <c r="L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s="16" customFormat="1" ht="15.75">
      <c r="A64" s="3">
        <v>24060300</v>
      </c>
      <c r="B64" s="13" t="s">
        <v>98</v>
      </c>
      <c r="C64" s="10">
        <f t="shared" si="0"/>
        <v>80958</v>
      </c>
      <c r="D64" s="48">
        <f>3000+77958</f>
        <v>80958</v>
      </c>
      <c r="E64" s="31"/>
      <c r="F64" s="28"/>
      <c r="G64" s="15"/>
      <c r="H64" s="15"/>
      <c r="I64" s="15"/>
      <c r="J64" s="15"/>
      <c r="K64" s="15"/>
      <c r="L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s="16" customFormat="1" ht="61.5" customHeight="1">
      <c r="A65" s="3">
        <v>24062000</v>
      </c>
      <c r="B65" s="13" t="s">
        <v>635</v>
      </c>
      <c r="C65" s="10">
        <f t="shared" si="0"/>
        <v>61500</v>
      </c>
      <c r="D65" s="48">
        <v>61500</v>
      </c>
      <c r="E65" s="31"/>
      <c r="F65" s="28"/>
      <c r="G65" s="15"/>
      <c r="H65" s="15"/>
      <c r="I65" s="15"/>
      <c r="J65" s="15"/>
      <c r="K65" s="15"/>
      <c r="L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6" customFormat="1" ht="40.5" customHeight="1">
      <c r="A66" s="3">
        <v>24170000</v>
      </c>
      <c r="B66" s="13" t="s">
        <v>105</v>
      </c>
      <c r="C66" s="10">
        <f t="shared" si="0"/>
        <v>50000</v>
      </c>
      <c r="D66" s="32"/>
      <c r="E66" s="32">
        <v>50000</v>
      </c>
      <c r="F66" s="32">
        <v>50000</v>
      </c>
      <c r="G66" s="15"/>
      <c r="H66" s="15"/>
      <c r="I66" s="15"/>
      <c r="J66" s="15"/>
      <c r="K66" s="15"/>
      <c r="L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6" customFormat="1" ht="15.75">
      <c r="A67" s="3">
        <v>25000000</v>
      </c>
      <c r="B67" s="13" t="s">
        <v>30</v>
      </c>
      <c r="C67" s="10">
        <f t="shared" si="0"/>
        <v>7677248</v>
      </c>
      <c r="D67" s="32"/>
      <c r="E67" s="32">
        <v>7677248</v>
      </c>
      <c r="F67" s="32"/>
      <c r="G67" s="15"/>
      <c r="H67" s="15"/>
      <c r="I67" s="15"/>
      <c r="J67" s="15"/>
      <c r="K67" s="15"/>
      <c r="L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6" customFormat="1" ht="21.75" customHeight="1">
      <c r="A68" s="1">
        <v>30000000</v>
      </c>
      <c r="B68" s="2" t="s">
        <v>17</v>
      </c>
      <c r="C68" s="10">
        <f t="shared" si="0"/>
        <v>3112900</v>
      </c>
      <c r="D68" s="28"/>
      <c r="E68" s="28">
        <f aca="true" t="shared" si="1" ref="E68:F70">SUM(E69)</f>
        <v>3112900</v>
      </c>
      <c r="F68" s="30"/>
      <c r="G68" s="15"/>
      <c r="H68" s="15"/>
      <c r="I68" s="15"/>
      <c r="J68" s="15"/>
      <c r="K68" s="15"/>
      <c r="L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16" customFormat="1" ht="21" customHeight="1">
      <c r="A69" s="3">
        <v>31000000</v>
      </c>
      <c r="B69" s="13" t="s">
        <v>18</v>
      </c>
      <c r="C69" s="10">
        <f t="shared" si="0"/>
        <v>3112900</v>
      </c>
      <c r="D69" s="28"/>
      <c r="E69" s="28">
        <f t="shared" si="1"/>
        <v>3112900</v>
      </c>
      <c r="F69" s="28">
        <f t="shared" si="1"/>
        <v>3112900</v>
      </c>
      <c r="G69" s="15"/>
      <c r="H69" s="15"/>
      <c r="I69" s="15"/>
      <c r="J69" s="15"/>
      <c r="K69" s="15"/>
      <c r="L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s="16" customFormat="1" ht="30.75" customHeight="1">
      <c r="A70" s="3">
        <v>33000000</v>
      </c>
      <c r="B70" s="13" t="s">
        <v>31</v>
      </c>
      <c r="C70" s="10">
        <f t="shared" si="0"/>
        <v>3112900</v>
      </c>
      <c r="D70" s="28"/>
      <c r="E70" s="28">
        <f t="shared" si="1"/>
        <v>3112900</v>
      </c>
      <c r="F70" s="28">
        <f t="shared" si="1"/>
        <v>3112900</v>
      </c>
      <c r="G70" s="15"/>
      <c r="H70" s="15"/>
      <c r="I70" s="15"/>
      <c r="J70" s="15"/>
      <c r="K70" s="15"/>
      <c r="L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s="16" customFormat="1" ht="89.25" customHeight="1">
      <c r="A71" s="88">
        <v>33010100</v>
      </c>
      <c r="B71" s="89" t="s">
        <v>290</v>
      </c>
      <c r="C71" s="10">
        <f>SUM(D71:E71)</f>
        <v>3112900</v>
      </c>
      <c r="D71" s="28"/>
      <c r="E71" s="49">
        <f>70000+3042900</f>
        <v>3112900</v>
      </c>
      <c r="F71" s="49">
        <f>70000+3042900</f>
        <v>3112900</v>
      </c>
      <c r="G71" s="15"/>
      <c r="H71" s="15"/>
      <c r="I71" s="15"/>
      <c r="J71" s="15"/>
      <c r="K71" s="15"/>
      <c r="L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s="16" customFormat="1" ht="15.75">
      <c r="A72" s="1">
        <v>40000000</v>
      </c>
      <c r="B72" s="9" t="s">
        <v>7</v>
      </c>
      <c r="C72" s="10">
        <f t="shared" si="0"/>
        <v>387793322</v>
      </c>
      <c r="D72" s="29">
        <f>SUM(D73)</f>
        <v>374112475</v>
      </c>
      <c r="E72" s="29">
        <f>SUM(E73)</f>
        <v>13680847</v>
      </c>
      <c r="F72" s="29">
        <f>SUM(F73)</f>
        <v>0</v>
      </c>
      <c r="G72" s="15"/>
      <c r="H72" s="15"/>
      <c r="I72" s="15"/>
      <c r="J72" s="15"/>
      <c r="K72" s="15"/>
      <c r="L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s="16" customFormat="1" ht="15.75">
      <c r="A73" s="3">
        <v>41000000</v>
      </c>
      <c r="B73" s="13" t="s">
        <v>32</v>
      </c>
      <c r="C73" s="10">
        <f t="shared" si="0"/>
        <v>387793322</v>
      </c>
      <c r="D73" s="28">
        <f>SUM(D74+D77+D83)</f>
        <v>374112475</v>
      </c>
      <c r="E73" s="28">
        <f>SUM(E74+E77)</f>
        <v>13680847</v>
      </c>
      <c r="F73" s="28">
        <f>SUM(F74+F77)</f>
        <v>0</v>
      </c>
      <c r="G73" s="15"/>
      <c r="H73" s="15"/>
      <c r="I73" s="15"/>
      <c r="J73" s="15"/>
      <c r="K73" s="15"/>
      <c r="L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s="16" customFormat="1" ht="15.75">
      <c r="A74" s="3">
        <v>41040000</v>
      </c>
      <c r="B74" s="13" t="s">
        <v>33</v>
      </c>
      <c r="C74" s="10">
        <f t="shared" si="0"/>
        <v>27480500</v>
      </c>
      <c r="D74" s="91">
        <f>SUM(D75:D76)</f>
        <v>27480500</v>
      </c>
      <c r="E74" s="32">
        <f>SUM(E75+E76)</f>
        <v>0</v>
      </c>
      <c r="F74" s="32">
        <f>SUM(F75+F76)</f>
        <v>0</v>
      </c>
      <c r="G74" s="15"/>
      <c r="H74" s="15"/>
      <c r="I74" s="15"/>
      <c r="J74" s="15"/>
      <c r="K74" s="15"/>
      <c r="L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16" customFormat="1" ht="80.25" customHeight="1">
      <c r="A75" s="79">
        <v>41040200</v>
      </c>
      <c r="B75" s="130" t="s">
        <v>433</v>
      </c>
      <c r="C75" s="10">
        <f t="shared" si="0"/>
        <v>23813500</v>
      </c>
      <c r="D75" s="48">
        <v>23813500</v>
      </c>
      <c r="E75" s="35"/>
      <c r="F75" s="32"/>
      <c r="G75" s="15"/>
      <c r="H75" s="15"/>
      <c r="I75" s="15"/>
      <c r="J75" s="15"/>
      <c r="K75" s="15"/>
      <c r="L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s="16" customFormat="1" ht="15.75">
      <c r="A76" s="3">
        <v>41040400</v>
      </c>
      <c r="B76" s="132" t="s">
        <v>434</v>
      </c>
      <c r="C76" s="36">
        <f>SUM(D76:E76)</f>
        <v>3667000</v>
      </c>
      <c r="D76" s="41">
        <v>3667000</v>
      </c>
      <c r="E76" s="37"/>
      <c r="F76" s="32"/>
      <c r="G76" s="15"/>
      <c r="H76" s="15"/>
      <c r="I76" s="15"/>
      <c r="J76" s="15"/>
      <c r="K76" s="15"/>
      <c r="L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16" customFormat="1" ht="15.75">
      <c r="A77" s="3">
        <v>41030000</v>
      </c>
      <c r="B77" s="13" t="s">
        <v>34</v>
      </c>
      <c r="C77" s="36">
        <f t="shared" si="0"/>
        <v>139593022</v>
      </c>
      <c r="D77" s="28">
        <f>SUM(D78:D82)</f>
        <v>125912175</v>
      </c>
      <c r="E77" s="28">
        <f>SUM(E78:E93)</f>
        <v>13680847</v>
      </c>
      <c r="F77" s="28">
        <f>SUM(F78:F93)</f>
        <v>0</v>
      </c>
      <c r="G77" s="15"/>
      <c r="H77" s="15"/>
      <c r="I77" s="15"/>
      <c r="J77" s="15"/>
      <c r="K77" s="15"/>
      <c r="L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s="16" customFormat="1" ht="50.25" customHeight="1">
      <c r="A78" s="79">
        <v>41031400</v>
      </c>
      <c r="B78" s="154" t="s">
        <v>562</v>
      </c>
      <c r="C78" s="173">
        <f>SUM(D78:E78)</f>
        <v>18081148</v>
      </c>
      <c r="D78" s="49">
        <v>4400301</v>
      </c>
      <c r="E78" s="174">
        <v>13680847</v>
      </c>
      <c r="F78" s="49"/>
      <c r="G78" s="15"/>
      <c r="H78" s="15"/>
      <c r="I78" s="15"/>
      <c r="J78" s="15"/>
      <c r="K78" s="15"/>
      <c r="L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s="16" customFormat="1" ht="53.25" customHeight="1">
      <c r="A79" s="79">
        <v>41033200</v>
      </c>
      <c r="B79" s="154" t="s">
        <v>578</v>
      </c>
      <c r="C79" s="173">
        <f>SUM(D79:E79)</f>
        <v>9996200</v>
      </c>
      <c r="D79" s="49">
        <v>9996200</v>
      </c>
      <c r="E79" s="174"/>
      <c r="F79" s="49"/>
      <c r="G79" s="15"/>
      <c r="H79" s="15"/>
      <c r="I79" s="15"/>
      <c r="J79" s="15"/>
      <c r="K79" s="15"/>
      <c r="L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s="16" customFormat="1" ht="33" customHeight="1">
      <c r="A80" s="79">
        <v>41033900</v>
      </c>
      <c r="B80" s="133" t="s">
        <v>644</v>
      </c>
      <c r="C80" s="36">
        <f>SUM(D80:E80)</f>
        <v>70312900</v>
      </c>
      <c r="D80" s="77">
        <v>70312900</v>
      </c>
      <c r="E80" s="38"/>
      <c r="F80" s="28"/>
      <c r="G80" s="15"/>
      <c r="H80" s="15"/>
      <c r="I80" s="15"/>
      <c r="J80" s="15"/>
      <c r="K80" s="15"/>
      <c r="L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6" customFormat="1" ht="39" customHeight="1">
      <c r="A81" s="177">
        <v>41034200</v>
      </c>
      <c r="B81" s="178" t="s">
        <v>645</v>
      </c>
      <c r="C81" s="179">
        <f>SUM(D81:E81)</f>
        <v>38685600</v>
      </c>
      <c r="D81" s="180">
        <f>29725400+5973500+2986700</f>
        <v>38685600</v>
      </c>
      <c r="E81" s="37"/>
      <c r="F81" s="32"/>
      <c r="G81" s="15"/>
      <c r="H81" s="15"/>
      <c r="I81" s="15"/>
      <c r="J81" s="15"/>
      <c r="K81" s="15"/>
      <c r="L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6" customFormat="1" ht="45.75" customHeight="1">
      <c r="A82" s="177">
        <v>41034500</v>
      </c>
      <c r="B82" s="181" t="s">
        <v>595</v>
      </c>
      <c r="C82" s="179">
        <f>SUM(D82:E82)</f>
        <v>2517174</v>
      </c>
      <c r="D82" s="180">
        <v>2517174</v>
      </c>
      <c r="E82" s="37"/>
      <c r="F82" s="32"/>
      <c r="G82" s="15"/>
      <c r="H82" s="15"/>
      <c r="I82" s="15"/>
      <c r="J82" s="15"/>
      <c r="K82" s="15"/>
      <c r="L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6" customFormat="1" ht="24.75" customHeight="1">
      <c r="A83" s="79">
        <v>41050000</v>
      </c>
      <c r="B83" s="154" t="s">
        <v>638</v>
      </c>
      <c r="C83" s="36">
        <f t="shared" si="0"/>
        <v>220719800</v>
      </c>
      <c r="D83" s="77">
        <f>SUM(D84:D93)</f>
        <v>220719800</v>
      </c>
      <c r="E83" s="37"/>
      <c r="F83" s="32"/>
      <c r="G83" s="15"/>
      <c r="H83" s="15"/>
      <c r="I83" s="15"/>
      <c r="J83" s="15"/>
      <c r="K83" s="15"/>
      <c r="L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6" customFormat="1" ht="128.25" customHeight="1">
      <c r="A84" s="3">
        <v>41050100</v>
      </c>
      <c r="B84" s="131" t="s">
        <v>646</v>
      </c>
      <c r="C84" s="36">
        <f t="shared" si="0"/>
        <v>98817500</v>
      </c>
      <c r="D84" s="48">
        <v>98817500</v>
      </c>
      <c r="E84" s="37"/>
      <c r="F84" s="32"/>
      <c r="G84" s="15"/>
      <c r="H84" s="15"/>
      <c r="I84" s="15"/>
      <c r="J84" s="15"/>
      <c r="K84" s="15"/>
      <c r="L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16" customFormat="1" ht="68.25" customHeight="1">
      <c r="A85" s="3">
        <v>41050200</v>
      </c>
      <c r="B85" s="131" t="s">
        <v>435</v>
      </c>
      <c r="C85" s="34">
        <f t="shared" si="0"/>
        <v>10635800</v>
      </c>
      <c r="D85" s="209">
        <f>11177400-541600</f>
        <v>10635800</v>
      </c>
      <c r="E85" s="35"/>
      <c r="F85" s="32"/>
      <c r="G85" s="15"/>
      <c r="H85" s="15"/>
      <c r="I85" s="15"/>
      <c r="J85" s="15"/>
      <c r="K85" s="15"/>
      <c r="L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s="16" customFormat="1" ht="105" customHeight="1">
      <c r="A86" s="3">
        <v>41050300</v>
      </c>
      <c r="B86" s="131" t="s">
        <v>436</v>
      </c>
      <c r="C86" s="34">
        <f t="shared" si="0"/>
        <v>103534900</v>
      </c>
      <c r="D86" s="126">
        <v>103534900</v>
      </c>
      <c r="E86" s="35"/>
      <c r="F86" s="32"/>
      <c r="G86" s="15"/>
      <c r="H86" s="15"/>
      <c r="I86" s="15"/>
      <c r="J86" s="15"/>
      <c r="K86" s="15"/>
      <c r="L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s="16" customFormat="1" ht="108" customHeight="1">
      <c r="A87" s="79">
        <v>41050700</v>
      </c>
      <c r="B87" s="131" t="s">
        <v>437</v>
      </c>
      <c r="C87" s="34">
        <f t="shared" si="0"/>
        <v>1642200</v>
      </c>
      <c r="D87" s="182">
        <f>1821600-179400</f>
        <v>1642200</v>
      </c>
      <c r="E87" s="35"/>
      <c r="F87" s="32"/>
      <c r="G87" s="15"/>
      <c r="H87" s="15"/>
      <c r="I87" s="15"/>
      <c r="J87" s="15"/>
      <c r="K87" s="15"/>
      <c r="L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16" customFormat="1" ht="54" customHeight="1">
      <c r="A88" s="79">
        <v>41051200</v>
      </c>
      <c r="B88" s="172" t="s">
        <v>547</v>
      </c>
      <c r="C88" s="173">
        <f t="shared" si="0"/>
        <v>212400</v>
      </c>
      <c r="D88" s="49">
        <f>21800+190600</f>
        <v>212400</v>
      </c>
      <c r="E88" s="168"/>
      <c r="F88" s="48"/>
      <c r="G88" s="15"/>
      <c r="H88" s="15"/>
      <c r="I88" s="15"/>
      <c r="J88" s="15"/>
      <c r="K88" s="15"/>
      <c r="L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s="16" customFormat="1" ht="68.25" customHeight="1">
      <c r="A89" s="79">
        <v>41051400</v>
      </c>
      <c r="B89" s="154" t="s">
        <v>647</v>
      </c>
      <c r="C89" s="173">
        <f t="shared" si="0"/>
        <v>1324000</v>
      </c>
      <c r="D89" s="49">
        <v>1324000</v>
      </c>
      <c r="E89" s="168"/>
      <c r="F89" s="48"/>
      <c r="G89" s="15"/>
      <c r="H89" s="15"/>
      <c r="I89" s="15"/>
      <c r="J89" s="15"/>
      <c r="K89" s="15"/>
      <c r="L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s="16" customFormat="1" ht="48.75" customHeight="1">
      <c r="A90" s="79">
        <v>41051500</v>
      </c>
      <c r="B90" s="154" t="s">
        <v>438</v>
      </c>
      <c r="C90" s="80">
        <f t="shared" si="0"/>
        <v>941500</v>
      </c>
      <c r="D90" s="77">
        <v>941500</v>
      </c>
      <c r="E90" s="30"/>
      <c r="F90" s="30"/>
      <c r="G90" s="15"/>
      <c r="H90" s="15"/>
      <c r="I90" s="15"/>
      <c r="J90" s="15"/>
      <c r="K90" s="15"/>
      <c r="L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16" customFormat="1" ht="48.75" customHeight="1">
      <c r="A91" s="79">
        <v>41051600</v>
      </c>
      <c r="B91" s="154" t="s">
        <v>575</v>
      </c>
      <c r="C91" s="80">
        <f t="shared" si="0"/>
        <v>407300</v>
      </c>
      <c r="D91" s="77">
        <v>407300</v>
      </c>
      <c r="E91" s="30"/>
      <c r="F91" s="30"/>
      <c r="G91" s="15"/>
      <c r="H91" s="15"/>
      <c r="I91" s="15"/>
      <c r="J91" s="15"/>
      <c r="K91" s="15"/>
      <c r="L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s="16" customFormat="1" ht="63" customHeight="1">
      <c r="A92" s="79">
        <v>41052000</v>
      </c>
      <c r="B92" s="154" t="s">
        <v>439</v>
      </c>
      <c r="C92" s="80">
        <f t="shared" si="0"/>
        <v>962600</v>
      </c>
      <c r="D92" s="77">
        <v>962600</v>
      </c>
      <c r="E92" s="30"/>
      <c r="F92" s="30"/>
      <c r="G92" s="15"/>
      <c r="H92" s="15"/>
      <c r="I92" s="15"/>
      <c r="J92" s="15"/>
      <c r="K92" s="15"/>
      <c r="L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16" customFormat="1" ht="15.75">
      <c r="A93" s="79">
        <v>41053900</v>
      </c>
      <c r="B93" s="142" t="s">
        <v>187</v>
      </c>
      <c r="C93" s="80">
        <f t="shared" si="0"/>
        <v>2241600</v>
      </c>
      <c r="D93" s="50">
        <f>14500+900000+9500+200000+900000+8700+208900</f>
        <v>2241600</v>
      </c>
      <c r="E93" s="30"/>
      <c r="F93" s="30"/>
      <c r="G93" s="15"/>
      <c r="H93" s="15"/>
      <c r="I93" s="15"/>
      <c r="J93" s="15"/>
      <c r="K93" s="15"/>
      <c r="L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s="25" customFormat="1" ht="15.75">
      <c r="A94" s="1"/>
      <c r="B94" s="20" t="s">
        <v>35</v>
      </c>
      <c r="C94" s="33">
        <f>C7+C49+C68+C72</f>
        <v>618001124</v>
      </c>
      <c r="D94" s="33">
        <f>SUM(D7+D49+D68+D72)</f>
        <v>593257929</v>
      </c>
      <c r="E94" s="33">
        <f>SUM(E7+E49+E68+E72)</f>
        <v>24743195</v>
      </c>
      <c r="F94" s="33">
        <f>F7+F49+F72+E68</f>
        <v>3162900</v>
      </c>
      <c r="G94" s="24"/>
      <c r="H94" s="24"/>
      <c r="I94" s="24"/>
      <c r="J94" s="24"/>
      <c r="K94" s="24"/>
      <c r="L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25" customFormat="1" ht="15.75">
      <c r="A95" s="73"/>
      <c r="B95" s="74"/>
      <c r="C95" s="75"/>
      <c r="D95" s="75"/>
      <c r="E95" s="75"/>
      <c r="F95" s="75"/>
      <c r="G95" s="24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6" ht="15.75">
      <c r="A96" s="71" t="s">
        <v>346</v>
      </c>
      <c r="B96" s="5"/>
      <c r="C96" s="5"/>
      <c r="D96" s="5"/>
      <c r="F96" s="5"/>
    </row>
    <row r="97" spans="1:5" ht="15.75">
      <c r="A97" s="71"/>
      <c r="B97" s="72"/>
      <c r="C97" s="72"/>
      <c r="D97" s="72"/>
      <c r="E97" s="72"/>
    </row>
    <row r="98" spans="1:253" s="23" customFormat="1" ht="15.75">
      <c r="A98" s="22" t="s">
        <v>155</v>
      </c>
      <c r="B98" s="22"/>
      <c r="C98" s="22"/>
      <c r="D98" s="22"/>
      <c r="E98" s="26"/>
      <c r="F98" s="22" t="s">
        <v>156</v>
      </c>
      <c r="G98" s="22"/>
      <c r="H98" s="22"/>
      <c r="I98" s="22"/>
      <c r="J98" s="22"/>
      <c r="K98" s="22"/>
      <c r="L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2:6" ht="15.75">
      <c r="B99" s="5"/>
      <c r="C99" s="5"/>
      <c r="D99" s="5"/>
      <c r="E99" s="5"/>
      <c r="F99" s="5"/>
    </row>
    <row r="100" spans="1:253" s="23" customFormat="1" ht="15.75">
      <c r="A100" s="21" t="s">
        <v>45</v>
      </c>
      <c r="B100" s="24"/>
      <c r="C100" s="26"/>
      <c r="D100" s="26"/>
      <c r="F100" s="27" t="s">
        <v>157</v>
      </c>
      <c r="G100" s="22"/>
      <c r="H100" s="22"/>
      <c r="I100" s="22"/>
      <c r="J100" s="22"/>
      <c r="K100" s="22"/>
      <c r="L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23" customFormat="1" ht="15.75">
      <c r="A101" s="21"/>
      <c r="B101" s="24"/>
      <c r="C101" s="26"/>
      <c r="D101" s="26">
        <f>SUM(D7+D49+D68)</f>
        <v>219145454</v>
      </c>
      <c r="E101" s="27"/>
      <c r="F101" s="26"/>
      <c r="G101" s="22"/>
      <c r="H101" s="22"/>
      <c r="I101" s="22"/>
      <c r="J101" s="22"/>
      <c r="K101" s="22"/>
      <c r="L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3:6" ht="15.75" hidden="1">
      <c r="C102" s="33">
        <f>SUM(D102:E102)</f>
        <v>230207802</v>
      </c>
      <c r="D102" s="6">
        <f>SUM(D7+D49+D68)</f>
        <v>219145454</v>
      </c>
      <c r="E102" s="6">
        <f>SUM(E7+E49+E68)</f>
        <v>11062348</v>
      </c>
      <c r="F102" s="6">
        <f>SUM(F7+F49+F68)</f>
        <v>50000</v>
      </c>
    </row>
  </sheetData>
  <sheetProtection/>
  <printOptions horizontalCentered="1"/>
  <pageMargins left="1.1811023622047245" right="0.3937007874015748" top="0.1968503937007874" bottom="0.1968503937007874" header="0.5118110236220472" footer="0.5118110236220472"/>
  <pageSetup fitToHeight="3" fitToWidth="1" horizontalDpi="300" verticalDpi="300" orientation="portrait" paperSize="9" scale="54" r:id="rId1"/>
  <headerFooter alignWithMargins="0">
    <oddFooter>&amp;R&amp;P</oddFooter>
  </headerFooter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3"/>
  <sheetViews>
    <sheetView showGridLines="0" showZeros="0" view="pageBreakPreview" zoomScaleSheetLayoutView="100" workbookViewId="0" topLeftCell="A7">
      <selection activeCell="A7" sqref="A1:IV16384"/>
    </sheetView>
  </sheetViews>
  <sheetFormatPr defaultColWidth="9.16015625" defaultRowHeight="12.75" customHeight="1"/>
  <cols>
    <col min="1" max="1" width="11.33203125" style="211" customWidth="1"/>
    <col min="2" max="2" width="46.33203125" style="211" customWidth="1"/>
    <col min="3" max="3" width="18.33203125" style="211" customWidth="1"/>
    <col min="4" max="4" width="18.66015625" style="211" customWidth="1"/>
    <col min="5" max="5" width="19.66015625" style="211" customWidth="1"/>
    <col min="6" max="6" width="20" style="211" customWidth="1"/>
    <col min="7" max="7" width="12" style="211" customWidth="1"/>
    <col min="8" max="12" width="9.16015625" style="211" customWidth="1"/>
    <col min="13" max="16384" width="9.16015625" style="213" customWidth="1"/>
  </cols>
  <sheetData>
    <row r="1" spans="4:13" ht="78.75" customHeight="1">
      <c r="D1" s="212"/>
      <c r="E1" s="362" t="s">
        <v>169</v>
      </c>
      <c r="F1" s="362"/>
      <c r="M1" s="211"/>
    </row>
    <row r="2" spans="1:6" ht="26.25" customHeight="1">
      <c r="A2" s="361" t="s">
        <v>165</v>
      </c>
      <c r="B2" s="361"/>
      <c r="C2" s="361"/>
      <c r="D2" s="361"/>
      <c r="E2" s="361"/>
      <c r="F2" s="361"/>
    </row>
    <row r="3" spans="1:6" ht="12.75" customHeight="1">
      <c r="A3" s="363"/>
      <c r="B3" s="363"/>
      <c r="C3" s="363"/>
      <c r="D3" s="363"/>
      <c r="E3" s="363"/>
      <c r="F3" s="214" t="s">
        <v>61</v>
      </c>
    </row>
    <row r="4" spans="1:12" s="216" customFormat="1" ht="24.75" customHeight="1">
      <c r="A4" s="364" t="s">
        <v>0</v>
      </c>
      <c r="B4" s="364" t="s">
        <v>1</v>
      </c>
      <c r="C4" s="364" t="s">
        <v>22</v>
      </c>
      <c r="D4" s="364" t="s">
        <v>19</v>
      </c>
      <c r="E4" s="364" t="s">
        <v>20</v>
      </c>
      <c r="F4" s="364"/>
      <c r="G4" s="215"/>
      <c r="H4" s="215"/>
      <c r="I4" s="215"/>
      <c r="J4" s="215"/>
      <c r="K4" s="215"/>
      <c r="L4" s="215"/>
    </row>
    <row r="5" spans="1:12" s="216" customFormat="1" ht="38.25" customHeight="1">
      <c r="A5" s="364"/>
      <c r="B5" s="364"/>
      <c r="C5" s="364"/>
      <c r="D5" s="364"/>
      <c r="E5" s="217" t="s">
        <v>22</v>
      </c>
      <c r="F5" s="218" t="s">
        <v>29</v>
      </c>
      <c r="G5" s="215"/>
      <c r="H5" s="215"/>
      <c r="I5" s="215"/>
      <c r="J5" s="215"/>
      <c r="K5" s="215"/>
      <c r="L5" s="215"/>
    </row>
    <row r="6" spans="1:12" s="224" customFormat="1" ht="26.25" customHeight="1">
      <c r="A6" s="219"/>
      <c r="B6" s="220" t="s">
        <v>2</v>
      </c>
      <c r="C6" s="221"/>
      <c r="D6" s="222"/>
      <c r="E6" s="222"/>
      <c r="F6" s="223"/>
      <c r="G6" s="211"/>
      <c r="H6" s="211"/>
      <c r="I6" s="211"/>
      <c r="J6" s="211"/>
      <c r="K6" s="211"/>
      <c r="L6" s="211"/>
    </row>
    <row r="7" spans="1:12" s="229" customFormat="1" ht="36.75" customHeight="1">
      <c r="A7" s="225">
        <v>600000</v>
      </c>
      <c r="B7" s="226" t="s">
        <v>3</v>
      </c>
      <c r="C7" s="227">
        <f>C8+C12</f>
        <v>67416705</v>
      </c>
      <c r="D7" s="227">
        <f>D8</f>
        <v>-15007724</v>
      </c>
      <c r="E7" s="227">
        <f>E8</f>
        <v>82424429</v>
      </c>
      <c r="F7" s="227">
        <f>F8</f>
        <v>82395690</v>
      </c>
      <c r="G7" s="228"/>
      <c r="H7" s="228"/>
      <c r="I7" s="228"/>
      <c r="J7" s="228"/>
      <c r="K7" s="228"/>
      <c r="L7" s="228"/>
    </row>
    <row r="8" spans="1:12" s="233" customFormat="1" ht="18.75" customHeight="1">
      <c r="A8" s="230">
        <v>602000</v>
      </c>
      <c r="B8" s="231" t="s">
        <v>4</v>
      </c>
      <c r="C8" s="232">
        <f>C9-C10</f>
        <v>67416705</v>
      </c>
      <c r="D8" s="232">
        <f>D9-D10+D12+D11</f>
        <v>-15007724</v>
      </c>
      <c r="E8" s="232">
        <f>E9-E10+E12+E11</f>
        <v>82424429</v>
      </c>
      <c r="F8" s="232">
        <f>F9-F10+F12+F11</f>
        <v>82395690</v>
      </c>
      <c r="G8" s="228"/>
      <c r="H8" s="228"/>
      <c r="I8" s="228"/>
      <c r="J8" s="228"/>
      <c r="K8" s="228"/>
      <c r="L8" s="228"/>
    </row>
    <row r="9" spans="1:12" s="233" customFormat="1" ht="18.75" customHeight="1">
      <c r="A9" s="234">
        <v>602100</v>
      </c>
      <c r="B9" s="235" t="s">
        <v>5</v>
      </c>
      <c r="C9" s="236">
        <f>D9+E9</f>
        <v>67426705</v>
      </c>
      <c r="D9" s="237">
        <f>10000+3323936+48702074+1545575+506802+13127579</f>
        <v>67215966</v>
      </c>
      <c r="E9" s="237">
        <f>182000+28739</f>
        <v>210739</v>
      </c>
      <c r="F9" s="237">
        <f>182000</f>
        <v>182000</v>
      </c>
      <c r="G9" s="228"/>
      <c r="H9" s="228"/>
      <c r="I9" s="228"/>
      <c r="J9" s="228"/>
      <c r="K9" s="228"/>
      <c r="L9" s="228"/>
    </row>
    <row r="10" spans="1:12" s="233" customFormat="1" ht="18.75" customHeight="1">
      <c r="A10" s="238">
        <v>602200</v>
      </c>
      <c r="B10" s="45" t="s">
        <v>88</v>
      </c>
      <c r="C10" s="236">
        <f>D10+E10</f>
        <v>10000</v>
      </c>
      <c r="D10" s="239">
        <v>10000</v>
      </c>
      <c r="E10" s="239"/>
      <c r="F10" s="232"/>
      <c r="G10" s="228"/>
      <c r="H10" s="228"/>
      <c r="I10" s="228"/>
      <c r="J10" s="228"/>
      <c r="K10" s="228"/>
      <c r="L10" s="228"/>
    </row>
    <row r="11" spans="1:12" s="233" customFormat="1" ht="35.25" customHeight="1">
      <c r="A11" s="238">
        <v>602304</v>
      </c>
      <c r="B11" s="69" t="s">
        <v>149</v>
      </c>
      <c r="C11" s="236">
        <f>D11+E11</f>
        <v>0</v>
      </c>
      <c r="D11" s="239"/>
      <c r="E11" s="239"/>
      <c r="F11" s="232"/>
      <c r="G11" s="228"/>
      <c r="H11" s="228"/>
      <c r="I11" s="228"/>
      <c r="J11" s="228"/>
      <c r="K11" s="228"/>
      <c r="L11" s="228"/>
    </row>
    <row r="12" spans="1:12" s="233" customFormat="1" ht="30" customHeight="1">
      <c r="A12" s="240">
        <v>602400</v>
      </c>
      <c r="B12" s="69" t="s">
        <v>89</v>
      </c>
      <c r="C12" s="236">
        <f>D12+E12</f>
        <v>0</v>
      </c>
      <c r="D12" s="241">
        <f>-1950000-2490200-47830251-1545575-11413460-3292222-9967397-1420598-3507135+533835-20200-100000+20000+34145-155000-63000+237300-8953+515936+260485-51400</f>
        <v>-82213690</v>
      </c>
      <c r="E12" s="241">
        <f>1950000+2490200+47830251+1545575+11413460+3292222+9967397+1420598+3507135-533835+20200+100000-20000-34145+155000+63000-237300+8953-515936-260485+51400</f>
        <v>82213690</v>
      </c>
      <c r="F12" s="241">
        <f>1950000+2490200+47830251+1545575+11413460+3292222+9967397+1420598+3507135-533835+20200+100000-20000-34145+155000+63000-237300+8953-515936-260485+51400</f>
        <v>82213690</v>
      </c>
      <c r="G12" s="228"/>
      <c r="H12" s="228"/>
      <c r="I12" s="228"/>
      <c r="J12" s="228"/>
      <c r="K12" s="228"/>
      <c r="L12" s="228"/>
    </row>
    <row r="13" spans="1:6" ht="29.25" customHeight="1">
      <c r="A13" s="157"/>
      <c r="B13" s="45" t="s">
        <v>648</v>
      </c>
      <c r="C13" s="61">
        <f>C7</f>
        <v>67416705</v>
      </c>
      <c r="D13" s="61">
        <f>D7</f>
        <v>-15007724</v>
      </c>
      <c r="E13" s="61">
        <f>E7</f>
        <v>82424429</v>
      </c>
      <c r="F13" s="61">
        <f>F7</f>
        <v>82395690</v>
      </c>
    </row>
    <row r="14" spans="1:6" ht="18" customHeight="1">
      <c r="A14" s="242"/>
      <c r="B14" s="243"/>
      <c r="C14" s="76"/>
      <c r="D14" s="76"/>
      <c r="E14" s="76"/>
      <c r="F14" s="76"/>
    </row>
    <row r="15" spans="1:12" s="67" customFormat="1" ht="32.25" customHeight="1">
      <c r="A15" s="360" t="s">
        <v>347</v>
      </c>
      <c r="B15" s="360"/>
      <c r="C15" s="360"/>
      <c r="D15" s="360"/>
      <c r="E15" s="360"/>
      <c r="F15" s="360"/>
      <c r="G15" s="211"/>
      <c r="H15" s="211"/>
      <c r="I15" s="211"/>
      <c r="J15" s="211"/>
      <c r="K15" s="211"/>
      <c r="L15" s="211"/>
    </row>
    <row r="16" spans="1:12" s="67" customFormat="1" ht="7.5" customHeight="1">
      <c r="A16" s="244"/>
      <c r="B16" s="244"/>
      <c r="C16" s="244"/>
      <c r="D16" s="244"/>
      <c r="E16" s="244"/>
      <c r="F16" s="244"/>
      <c r="G16" s="211"/>
      <c r="H16" s="211"/>
      <c r="I16" s="211"/>
      <c r="J16" s="211"/>
      <c r="K16" s="211"/>
      <c r="L16" s="211"/>
    </row>
    <row r="17" spans="1:12" s="67" customFormat="1" ht="7.5" customHeight="1">
      <c r="A17" s="244"/>
      <c r="B17" s="244"/>
      <c r="C17" s="244"/>
      <c r="D17" s="244"/>
      <c r="E17" s="244"/>
      <c r="F17" s="244"/>
      <c r="G17" s="211"/>
      <c r="H17" s="211"/>
      <c r="I17" s="211"/>
      <c r="J17" s="211"/>
      <c r="K17" s="211"/>
      <c r="L17" s="211"/>
    </row>
    <row r="18" spans="1:12" s="128" customFormat="1" ht="12.75" customHeight="1">
      <c r="A18" s="245" t="s">
        <v>155</v>
      </c>
      <c r="B18" s="245"/>
      <c r="C18" s="245"/>
      <c r="D18" s="245"/>
      <c r="E18" s="245" t="s">
        <v>158</v>
      </c>
      <c r="F18" s="246"/>
      <c r="G18" s="246"/>
      <c r="H18" s="246"/>
      <c r="I18" s="246"/>
      <c r="J18" s="246"/>
      <c r="K18" s="246"/>
      <c r="L18" s="246"/>
    </row>
    <row r="19" spans="1:12" s="128" customFormat="1" ht="12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s="145" customFormat="1" ht="12.75" customHeight="1">
      <c r="A20" s="145" t="s">
        <v>45</v>
      </c>
      <c r="B20" s="245"/>
      <c r="C20" s="245"/>
      <c r="D20" s="245"/>
      <c r="E20" s="247" t="s">
        <v>159</v>
      </c>
      <c r="F20" s="245"/>
      <c r="G20" s="245"/>
      <c r="H20" s="245"/>
      <c r="I20" s="245"/>
      <c r="J20" s="245"/>
      <c r="K20" s="245"/>
      <c r="L20" s="245"/>
    </row>
    <row r="21" spans="2:12" s="145" customFormat="1" ht="12.75" customHeight="1">
      <c r="B21" s="245"/>
      <c r="C21" s="245"/>
      <c r="D21" s="245"/>
      <c r="E21" s="247"/>
      <c r="F21" s="245"/>
      <c r="G21" s="245"/>
      <c r="H21" s="245"/>
      <c r="I21" s="245"/>
      <c r="J21" s="245"/>
      <c r="K21" s="245"/>
      <c r="L21" s="245"/>
    </row>
    <row r="22" spans="3:6" ht="12.75" customHeight="1">
      <c r="C22" s="248">
        <f>'дод.1'!C94+'дод.2'!C13-'дод.3'!Q167</f>
        <v>0</v>
      </c>
      <c r="D22" s="248">
        <f>'дод.1'!D94+'дод.2'!D13-'дод.3'!F167</f>
        <v>0</v>
      </c>
      <c r="E22" s="248">
        <f>'дод.1'!E94+'дод.2'!E13-'дод.3'!K167</f>
        <v>0</v>
      </c>
      <c r="F22" s="248">
        <f>'дод.1'!F94+'дод.2'!F13-'дод.3'!P167</f>
        <v>0</v>
      </c>
    </row>
    <row r="24" ht="12.75" customHeight="1">
      <c r="D24" s="248"/>
    </row>
    <row r="28" spans="2:5" ht="12.75" customHeight="1">
      <c r="B28" s="211" t="s">
        <v>599</v>
      </c>
      <c r="D28" s="211">
        <f>D29+D38</f>
        <v>0</v>
      </c>
      <c r="E28" s="211">
        <f>C28-D28</f>
        <v>0</v>
      </c>
    </row>
    <row r="29" ht="12.75" customHeight="1">
      <c r="B29" s="211" t="s">
        <v>538</v>
      </c>
    </row>
    <row r="31" spans="2:3" ht="12.75" customHeight="1">
      <c r="B31" s="211" t="s">
        <v>599</v>
      </c>
      <c r="C31" s="211" t="s">
        <v>460</v>
      </c>
    </row>
    <row r="32" ht="12.75" customHeight="1">
      <c r="C32" s="211" t="s">
        <v>461</v>
      </c>
    </row>
    <row r="33" ht="12.75" customHeight="1">
      <c r="C33" s="211" t="s">
        <v>462</v>
      </c>
    </row>
    <row r="34" ht="12.75" customHeight="1">
      <c r="C34" s="211" t="s">
        <v>464</v>
      </c>
    </row>
    <row r="35" ht="12.75" customHeight="1">
      <c r="C35" s="211" t="s">
        <v>463</v>
      </c>
    </row>
    <row r="36" ht="12.75" customHeight="1">
      <c r="C36" s="211" t="s">
        <v>465</v>
      </c>
    </row>
    <row r="37" ht="12.75" customHeight="1">
      <c r="C37" s="211" t="s">
        <v>466</v>
      </c>
    </row>
    <row r="38" spans="3:4" ht="12.75" customHeight="1">
      <c r="C38" s="211" t="s">
        <v>467</v>
      </c>
      <c r="D38" s="211">
        <f>D31+D32+D33+D34+D35+D36+D37</f>
        <v>0</v>
      </c>
    </row>
    <row r="40" ht="12.75" customHeight="1">
      <c r="E40" s="249" t="s">
        <v>579</v>
      </c>
    </row>
    <row r="41" spans="2:3" ht="12.75" customHeight="1">
      <c r="B41" s="211" t="s">
        <v>468</v>
      </c>
      <c r="C41" s="211" t="s">
        <v>574</v>
      </c>
    </row>
    <row r="42" ht="12.75" customHeight="1">
      <c r="C42" s="211" t="s">
        <v>600</v>
      </c>
    </row>
    <row r="43" ht="12.75" customHeight="1">
      <c r="C43" s="211" t="s">
        <v>570</v>
      </c>
    </row>
    <row r="44" ht="12.75" customHeight="1">
      <c r="C44" s="211" t="s">
        <v>599</v>
      </c>
    </row>
    <row r="45" spans="3:4" ht="12.75" customHeight="1">
      <c r="C45" s="211" t="s">
        <v>539</v>
      </c>
      <c r="D45" s="211">
        <f>212485+286939-341000+226758+96768+28938+1200+600+837+20310</f>
        <v>533835</v>
      </c>
    </row>
    <row r="46" spans="3:5" ht="12.75" customHeight="1">
      <c r="C46" s="211" t="s">
        <v>482</v>
      </c>
      <c r="D46" s="211">
        <f>SUM(D41:D45)</f>
        <v>533835</v>
      </c>
      <c r="E46" s="211">
        <f>SUM(E42:E45)</f>
        <v>0</v>
      </c>
    </row>
    <row r="49" ht="12.75" customHeight="1">
      <c r="D49" s="211">
        <f>-2500000-2559291+56000+157000+173875+37000+6500+302738+2240144+523179+1498904+63951</f>
        <v>0</v>
      </c>
    </row>
    <row r="53" ht="12.75" customHeight="1">
      <c r="C53" s="211">
        <f>C51+C52</f>
        <v>0</v>
      </c>
    </row>
  </sheetData>
  <sheetProtection/>
  <mergeCells count="9">
    <mergeCell ref="A15:F15"/>
    <mergeCell ref="A2:F2"/>
    <mergeCell ref="E1:F1"/>
    <mergeCell ref="A3:E3"/>
    <mergeCell ref="C4:C5"/>
    <mergeCell ref="D4:D5"/>
    <mergeCell ref="E4:F4"/>
    <mergeCell ref="B4:B5"/>
    <mergeCell ref="A4:A5"/>
  </mergeCells>
  <printOptions horizontalCentered="1"/>
  <pageMargins left="1.1811023622047245" right="0.3937007874015748" top="0.5905511811023623" bottom="0.7874015748031497" header="0.5118110236220472" footer="0.5118110236220472"/>
  <pageSetup fitToHeight="1" fitToWidth="1" horizontalDpi="300" verticalDpi="300" orientation="portrait" paperSize="9" scale="7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79"/>
  <sheetViews>
    <sheetView showGridLines="0" showZeros="0" view="pageBreakPreview" zoomScale="75" zoomScaleNormal="75" zoomScaleSheetLayoutView="75" workbookViewId="0" topLeftCell="A1">
      <pane xSplit="4" ySplit="7" topLeftCell="F166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1" sqref="A1:IV16384"/>
    </sheetView>
  </sheetViews>
  <sheetFormatPr defaultColWidth="9.16015625" defaultRowHeight="12.75"/>
  <cols>
    <col min="1" max="1" width="12.33203125" style="250" customWidth="1"/>
    <col min="2" max="2" width="12.33203125" style="251" customWidth="1"/>
    <col min="3" max="3" width="11.66015625" style="251" hidden="1" customWidth="1"/>
    <col min="4" max="4" width="11.66015625" style="251" customWidth="1"/>
    <col min="5" max="5" width="86.5" style="288" customWidth="1"/>
    <col min="6" max="6" width="15.16015625" style="246" customWidth="1"/>
    <col min="7" max="7" width="14.83203125" style="283" customWidth="1"/>
    <col min="8" max="8" width="15.16015625" style="283" customWidth="1"/>
    <col min="9" max="9" width="14.66015625" style="283" customWidth="1"/>
    <col min="10" max="10" width="15.5" style="283" customWidth="1"/>
    <col min="11" max="11" width="15.16015625" style="246" customWidth="1"/>
    <col min="12" max="12" width="13.83203125" style="283" customWidth="1"/>
    <col min="13" max="14" width="12.66015625" style="283" customWidth="1"/>
    <col min="15" max="15" width="14.83203125" style="283" customWidth="1"/>
    <col min="16" max="16" width="15.5" style="283" customWidth="1"/>
    <col min="17" max="17" width="16.83203125" style="246" customWidth="1"/>
    <col min="18" max="16384" width="9.16015625" style="65" customWidth="1"/>
  </cols>
  <sheetData>
    <row r="1" spans="5:18" ht="75" customHeight="1">
      <c r="E1" s="252"/>
      <c r="F1" s="253"/>
      <c r="G1" s="254"/>
      <c r="H1" s="254"/>
      <c r="I1" s="254"/>
      <c r="J1" s="254"/>
      <c r="K1" s="253"/>
      <c r="L1" s="254"/>
      <c r="M1" s="254"/>
      <c r="N1" s="255"/>
      <c r="O1" s="255"/>
      <c r="P1" s="362" t="s">
        <v>164</v>
      </c>
      <c r="Q1" s="362"/>
      <c r="R1" s="255"/>
    </row>
    <row r="2" spans="1:17" ht="67.5" customHeight="1">
      <c r="A2" s="370" t="s">
        <v>351</v>
      </c>
      <c r="B2" s="370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33.75" customHeight="1">
      <c r="A3" s="375" t="s">
        <v>102</v>
      </c>
      <c r="B3" s="381" t="s">
        <v>117</v>
      </c>
      <c r="C3" s="378" t="s">
        <v>44</v>
      </c>
      <c r="D3" s="369" t="s">
        <v>119</v>
      </c>
      <c r="E3" s="372" t="s">
        <v>118</v>
      </c>
      <c r="F3" s="367" t="s">
        <v>19</v>
      </c>
      <c r="G3" s="367"/>
      <c r="H3" s="367"/>
      <c r="I3" s="367"/>
      <c r="J3" s="367"/>
      <c r="K3" s="367" t="s">
        <v>20</v>
      </c>
      <c r="L3" s="367"/>
      <c r="M3" s="367"/>
      <c r="N3" s="367"/>
      <c r="O3" s="367"/>
      <c r="P3" s="367"/>
      <c r="Q3" s="364" t="s">
        <v>21</v>
      </c>
    </row>
    <row r="4" spans="1:17" ht="12.75" customHeight="1">
      <c r="A4" s="376"/>
      <c r="B4" s="382"/>
      <c r="C4" s="379"/>
      <c r="D4" s="369"/>
      <c r="E4" s="372"/>
      <c r="F4" s="373" t="s">
        <v>22</v>
      </c>
      <c r="G4" s="368" t="s">
        <v>23</v>
      </c>
      <c r="H4" s="366" t="s">
        <v>24</v>
      </c>
      <c r="I4" s="366"/>
      <c r="J4" s="368" t="s">
        <v>25</v>
      </c>
      <c r="K4" s="373" t="s">
        <v>22</v>
      </c>
      <c r="L4" s="368" t="s">
        <v>23</v>
      </c>
      <c r="M4" s="366" t="s">
        <v>24</v>
      </c>
      <c r="N4" s="366"/>
      <c r="O4" s="368" t="s">
        <v>25</v>
      </c>
      <c r="P4" s="256" t="s">
        <v>24</v>
      </c>
      <c r="Q4" s="364"/>
    </row>
    <row r="5" spans="1:17" ht="12.75">
      <c r="A5" s="376"/>
      <c r="B5" s="382"/>
      <c r="C5" s="379"/>
      <c r="D5" s="369"/>
      <c r="E5" s="372"/>
      <c r="F5" s="373"/>
      <c r="G5" s="368"/>
      <c r="H5" s="366" t="s">
        <v>26</v>
      </c>
      <c r="I5" s="372" t="s">
        <v>27</v>
      </c>
      <c r="J5" s="368"/>
      <c r="K5" s="373"/>
      <c r="L5" s="368"/>
      <c r="M5" s="366" t="s">
        <v>26</v>
      </c>
      <c r="N5" s="366" t="s">
        <v>27</v>
      </c>
      <c r="O5" s="368"/>
      <c r="P5" s="374" t="s">
        <v>37</v>
      </c>
      <c r="Q5" s="364"/>
    </row>
    <row r="6" spans="1:17" ht="48" customHeight="1">
      <c r="A6" s="377"/>
      <c r="B6" s="382"/>
      <c r="C6" s="380"/>
      <c r="D6" s="369"/>
      <c r="E6" s="372"/>
      <c r="F6" s="373"/>
      <c r="G6" s="368"/>
      <c r="H6" s="366"/>
      <c r="I6" s="366"/>
      <c r="J6" s="368"/>
      <c r="K6" s="373"/>
      <c r="L6" s="368"/>
      <c r="M6" s="366"/>
      <c r="N6" s="366"/>
      <c r="O6" s="368"/>
      <c r="P6" s="374"/>
      <c r="Q6" s="364"/>
    </row>
    <row r="7" spans="1:17" ht="15.75">
      <c r="A7" s="257" t="s">
        <v>188</v>
      </c>
      <c r="B7" s="210"/>
      <c r="C7" s="258"/>
      <c r="D7" s="259"/>
      <c r="E7" s="260" t="s">
        <v>170</v>
      </c>
      <c r="F7" s="261">
        <f>F8</f>
        <v>116183970</v>
      </c>
      <c r="G7" s="261">
        <f aca="true" t="shared" si="0" ref="G7:Q7">G8</f>
        <v>115183378</v>
      </c>
      <c r="H7" s="261">
        <f t="shared" si="0"/>
        <v>26154105</v>
      </c>
      <c r="I7" s="261">
        <f t="shared" si="0"/>
        <v>1344522</v>
      </c>
      <c r="J7" s="261">
        <f t="shared" si="0"/>
        <v>1000592</v>
      </c>
      <c r="K7" s="261">
        <f t="shared" si="0"/>
        <v>55545827</v>
      </c>
      <c r="L7" s="261">
        <f t="shared" si="0"/>
        <v>4990311</v>
      </c>
      <c r="M7" s="261">
        <f t="shared" si="0"/>
        <v>0</v>
      </c>
      <c r="N7" s="261">
        <f t="shared" si="0"/>
        <v>0</v>
      </c>
      <c r="O7" s="261">
        <f t="shared" si="0"/>
        <v>50555516</v>
      </c>
      <c r="P7" s="261">
        <f t="shared" si="0"/>
        <v>48640744</v>
      </c>
      <c r="Q7" s="261">
        <f t="shared" si="0"/>
        <v>171729797</v>
      </c>
    </row>
    <row r="8" spans="1:17" ht="30">
      <c r="A8" s="257" t="s">
        <v>189</v>
      </c>
      <c r="B8" s="262"/>
      <c r="C8" s="257"/>
      <c r="D8" s="257"/>
      <c r="E8" s="260" t="s">
        <v>171</v>
      </c>
      <c r="F8" s="263">
        <f>SUM(F9:F56)</f>
        <v>116183970</v>
      </c>
      <c r="G8" s="99">
        <f>SUM(G9:G56)</f>
        <v>115183378</v>
      </c>
      <c r="H8" s="99">
        <f>SUM(H9:H56)</f>
        <v>26154105</v>
      </c>
      <c r="I8" s="99">
        <f>SUM(I9:I56)</f>
        <v>1344522</v>
      </c>
      <c r="J8" s="99">
        <f>SUM(J9:J56)</f>
        <v>1000592</v>
      </c>
      <c r="K8" s="99">
        <f aca="true" t="shared" si="1" ref="K8:K13">L8+O8</f>
        <v>55545827</v>
      </c>
      <c r="L8" s="99">
        <f aca="true" t="shared" si="2" ref="L8:Q8">SUM(L9:L56)</f>
        <v>4990311</v>
      </c>
      <c r="M8" s="99">
        <f t="shared" si="2"/>
        <v>0</v>
      </c>
      <c r="N8" s="99">
        <f t="shared" si="2"/>
        <v>0</v>
      </c>
      <c r="O8" s="99">
        <f t="shared" si="2"/>
        <v>50555516</v>
      </c>
      <c r="P8" s="99">
        <f t="shared" si="2"/>
        <v>48640744</v>
      </c>
      <c r="Q8" s="99">
        <f t="shared" si="2"/>
        <v>171729797</v>
      </c>
    </row>
    <row r="9" spans="1:17" ht="45">
      <c r="A9" s="53" t="s">
        <v>200</v>
      </c>
      <c r="B9" s="54" t="s">
        <v>201</v>
      </c>
      <c r="C9" s="58">
        <v>10116</v>
      </c>
      <c r="D9" s="44" t="s">
        <v>28</v>
      </c>
      <c r="E9" s="51" t="s">
        <v>160</v>
      </c>
      <c r="F9" s="99">
        <f aca="true" t="shared" si="3" ref="F9:F87">G9+J9</f>
        <v>31046448</v>
      </c>
      <c r="G9" s="42">
        <f>25507021+100000-23737+155000+27508-10000-16000+5218856+195740-20200-52740-20000-15000</f>
        <v>31046448</v>
      </c>
      <c r="H9" s="42">
        <f>18138943+4245234</f>
        <v>22384177</v>
      </c>
      <c r="I9" s="43">
        <f>1297020-23737+18182-20000</f>
        <v>1271465</v>
      </c>
      <c r="J9" s="42"/>
      <c r="K9" s="99">
        <f t="shared" si="1"/>
        <v>3423848</v>
      </c>
      <c r="L9" s="43">
        <v>110000</v>
      </c>
      <c r="M9" s="42"/>
      <c r="N9" s="42"/>
      <c r="O9" s="42">
        <f>3103588+56000-195740+341000+9000</f>
        <v>3313848</v>
      </c>
      <c r="P9" s="42">
        <f>3103588+56000-195740+341000+9000</f>
        <v>3313848</v>
      </c>
      <c r="Q9" s="99">
        <f>F9+K9</f>
        <v>34470296</v>
      </c>
    </row>
    <row r="10" spans="1:17" ht="30">
      <c r="A10" s="53" t="s">
        <v>354</v>
      </c>
      <c r="B10" s="54" t="s">
        <v>248</v>
      </c>
      <c r="C10" s="54" t="s">
        <v>56</v>
      </c>
      <c r="D10" s="44" t="s">
        <v>48</v>
      </c>
      <c r="E10" s="68" t="s">
        <v>246</v>
      </c>
      <c r="F10" s="99">
        <f t="shared" si="3"/>
        <v>69280</v>
      </c>
      <c r="G10" s="42">
        <f>57780+11500</f>
        <v>69280</v>
      </c>
      <c r="H10" s="42"/>
      <c r="I10" s="42"/>
      <c r="J10" s="42"/>
      <c r="K10" s="99">
        <f t="shared" si="1"/>
        <v>0</v>
      </c>
      <c r="L10" s="42"/>
      <c r="M10" s="42"/>
      <c r="N10" s="42"/>
      <c r="O10" s="42"/>
      <c r="P10" s="42"/>
      <c r="Q10" s="99">
        <f>F10+K10</f>
        <v>69280</v>
      </c>
    </row>
    <row r="11" spans="1:17" ht="15.75">
      <c r="A11" s="53" t="s">
        <v>202</v>
      </c>
      <c r="B11" s="54" t="s">
        <v>124</v>
      </c>
      <c r="C11" s="54" t="s">
        <v>57</v>
      </c>
      <c r="D11" s="44" t="s">
        <v>49</v>
      </c>
      <c r="E11" s="68" t="s">
        <v>125</v>
      </c>
      <c r="F11" s="99">
        <f t="shared" si="3"/>
        <v>39947126</v>
      </c>
      <c r="G11" s="42">
        <f>4560620+29725400+3708129+452977+1500000</f>
        <v>39947126</v>
      </c>
      <c r="H11" s="108"/>
      <c r="I11" s="108"/>
      <c r="J11" s="42"/>
      <c r="K11" s="99">
        <f t="shared" si="1"/>
        <v>5940177</v>
      </c>
      <c r="L11" s="42">
        <v>4629282</v>
      </c>
      <c r="M11" s="42"/>
      <c r="N11" s="42"/>
      <c r="O11" s="42">
        <f>2490200+200000-1500000+120695</f>
        <v>1310895</v>
      </c>
      <c r="P11" s="42">
        <f>2490200+200000-1500000+120695</f>
        <v>1310895</v>
      </c>
      <c r="Q11" s="99">
        <f aca="true" t="shared" si="4" ref="Q11:Q17">F11+K11</f>
        <v>45887303</v>
      </c>
    </row>
    <row r="12" spans="1:17" ht="15.75">
      <c r="A12" s="53" t="s">
        <v>203</v>
      </c>
      <c r="B12" s="54" t="s">
        <v>355</v>
      </c>
      <c r="C12" s="54"/>
      <c r="D12" s="44"/>
      <c r="E12" s="68" t="s">
        <v>204</v>
      </c>
      <c r="F12" s="99">
        <f t="shared" si="3"/>
        <v>0</v>
      </c>
      <c r="G12" s="42"/>
      <c r="H12" s="108"/>
      <c r="I12" s="108"/>
      <c r="J12" s="42"/>
      <c r="K12" s="99">
        <f t="shared" si="1"/>
        <v>0</v>
      </c>
      <c r="L12" s="42"/>
      <c r="M12" s="42"/>
      <c r="N12" s="42"/>
      <c r="O12" s="42"/>
      <c r="P12" s="42"/>
      <c r="Q12" s="99">
        <f t="shared" si="4"/>
        <v>0</v>
      </c>
    </row>
    <row r="13" spans="1:17" ht="30">
      <c r="A13" s="53" t="s">
        <v>205</v>
      </c>
      <c r="B13" s="102" t="s">
        <v>206</v>
      </c>
      <c r="C13" s="54" t="s">
        <v>58</v>
      </c>
      <c r="D13" s="105" t="s">
        <v>418</v>
      </c>
      <c r="E13" s="69" t="s">
        <v>207</v>
      </c>
      <c r="F13" s="99">
        <f t="shared" si="3"/>
        <v>13487265</v>
      </c>
      <c r="G13" s="42">
        <f>1245380+5973500+2500000+962600-38098-962600+80000+126075+2986700+500000+27864-27864+16940+96768</f>
        <v>13487265</v>
      </c>
      <c r="H13" s="108"/>
      <c r="I13" s="108"/>
      <c r="J13" s="42"/>
      <c r="K13" s="99">
        <f t="shared" si="1"/>
        <v>675061</v>
      </c>
      <c r="L13" s="42">
        <v>90</v>
      </c>
      <c r="M13" s="42"/>
      <c r="N13" s="42"/>
      <c r="O13" s="42">
        <f>3870398+38098-866559-484650-1768608-27864+27864-16940-96768</f>
        <v>674971</v>
      </c>
      <c r="P13" s="42">
        <f>3870398+38098-866559-484650-1768608-27864+27864-16940-96768</f>
        <v>674971</v>
      </c>
      <c r="Q13" s="99">
        <f t="shared" si="4"/>
        <v>14162326</v>
      </c>
    </row>
    <row r="14" spans="1:17" ht="15.75">
      <c r="A14" s="53" t="s">
        <v>413</v>
      </c>
      <c r="B14" s="102" t="s">
        <v>415</v>
      </c>
      <c r="C14" s="54"/>
      <c r="D14" s="105"/>
      <c r="E14" s="157" t="s">
        <v>419</v>
      </c>
      <c r="F14" s="99">
        <f t="shared" si="3"/>
        <v>0</v>
      </c>
      <c r="G14" s="42"/>
      <c r="H14" s="108"/>
      <c r="I14" s="108"/>
      <c r="J14" s="42"/>
      <c r="K14" s="99"/>
      <c r="L14" s="42"/>
      <c r="M14" s="42"/>
      <c r="N14" s="42"/>
      <c r="O14" s="42"/>
      <c r="P14" s="42"/>
      <c r="Q14" s="99">
        <f t="shared" si="4"/>
        <v>0</v>
      </c>
    </row>
    <row r="15" spans="1:17" ht="15.75">
      <c r="A15" s="53" t="s">
        <v>414</v>
      </c>
      <c r="B15" s="102" t="s">
        <v>416</v>
      </c>
      <c r="C15" s="54"/>
      <c r="D15" s="105" t="s">
        <v>417</v>
      </c>
      <c r="E15" s="158" t="s">
        <v>420</v>
      </c>
      <c r="F15" s="99">
        <f t="shared" si="3"/>
        <v>1729559</v>
      </c>
      <c r="G15" s="42">
        <f>941500+380759+407300</f>
        <v>1729559</v>
      </c>
      <c r="H15" s="108"/>
      <c r="I15" s="108"/>
      <c r="J15" s="42"/>
      <c r="K15" s="99"/>
      <c r="L15" s="42"/>
      <c r="M15" s="42"/>
      <c r="N15" s="42"/>
      <c r="O15" s="42"/>
      <c r="P15" s="42"/>
      <c r="Q15" s="99">
        <f t="shared" si="4"/>
        <v>1729559</v>
      </c>
    </row>
    <row r="16" spans="1:17" ht="30">
      <c r="A16" s="53" t="s">
        <v>558</v>
      </c>
      <c r="B16" s="102" t="s">
        <v>559</v>
      </c>
      <c r="C16" s="54"/>
      <c r="D16" s="105" t="s">
        <v>417</v>
      </c>
      <c r="E16" s="69" t="s">
        <v>560</v>
      </c>
      <c r="F16" s="99">
        <f t="shared" si="3"/>
        <v>962600</v>
      </c>
      <c r="G16" s="42">
        <v>962600</v>
      </c>
      <c r="H16" s="108"/>
      <c r="I16" s="108"/>
      <c r="J16" s="42"/>
      <c r="K16" s="99"/>
      <c r="L16" s="42"/>
      <c r="M16" s="42"/>
      <c r="N16" s="42"/>
      <c r="O16" s="42"/>
      <c r="P16" s="42"/>
      <c r="Q16" s="99">
        <f t="shared" si="4"/>
        <v>962600</v>
      </c>
    </row>
    <row r="17" spans="1:17" ht="15.75">
      <c r="A17" s="53" t="s">
        <v>384</v>
      </c>
      <c r="B17" s="54" t="s">
        <v>377</v>
      </c>
      <c r="C17" s="54" t="s">
        <v>110</v>
      </c>
      <c r="D17" s="44" t="s">
        <v>108</v>
      </c>
      <c r="E17" s="45" t="s">
        <v>109</v>
      </c>
      <c r="F17" s="99">
        <f>G17+J17</f>
        <v>368567</v>
      </c>
      <c r="G17" s="42">
        <f>149888+218679</f>
        <v>368567</v>
      </c>
      <c r="H17" s="42"/>
      <c r="I17" s="42"/>
      <c r="J17" s="42"/>
      <c r="K17" s="99">
        <f>L17+O17</f>
        <v>0</v>
      </c>
      <c r="L17" s="42"/>
      <c r="M17" s="42"/>
      <c r="N17" s="42"/>
      <c r="O17" s="42"/>
      <c r="P17" s="42"/>
      <c r="Q17" s="99">
        <f t="shared" si="4"/>
        <v>368567</v>
      </c>
    </row>
    <row r="18" spans="1:17" ht="15.75">
      <c r="A18" s="53" t="s">
        <v>382</v>
      </c>
      <c r="B18" s="58">
        <v>3240</v>
      </c>
      <c r="C18" s="54" t="s">
        <v>59</v>
      </c>
      <c r="D18" s="44"/>
      <c r="E18" s="51" t="s">
        <v>208</v>
      </c>
      <c r="F18" s="99">
        <f>G18+J18</f>
        <v>0</v>
      </c>
      <c r="G18" s="42"/>
      <c r="H18" s="42"/>
      <c r="I18" s="42"/>
      <c r="J18" s="42"/>
      <c r="K18" s="99">
        <f>L18+O18</f>
        <v>0</v>
      </c>
      <c r="L18" s="42"/>
      <c r="M18" s="42"/>
      <c r="N18" s="42"/>
      <c r="O18" s="42"/>
      <c r="P18" s="42"/>
      <c r="Q18" s="99">
        <f>F18+K18</f>
        <v>0</v>
      </c>
    </row>
    <row r="19" spans="1:17" ht="15.75">
      <c r="A19" s="53" t="s">
        <v>383</v>
      </c>
      <c r="B19" s="106">
        <v>3242</v>
      </c>
      <c r="C19" s="102" t="s">
        <v>59</v>
      </c>
      <c r="D19" s="105" t="s">
        <v>50</v>
      </c>
      <c r="E19" s="52" t="s">
        <v>380</v>
      </c>
      <c r="F19" s="99">
        <f>G19+J19</f>
        <v>5100</v>
      </c>
      <c r="G19" s="42">
        <f>7200-2100</f>
        <v>5100</v>
      </c>
      <c r="H19" s="42"/>
      <c r="I19" s="42"/>
      <c r="J19" s="42"/>
      <c r="K19" s="99"/>
      <c r="L19" s="42"/>
      <c r="M19" s="42"/>
      <c r="N19" s="42"/>
      <c r="O19" s="42"/>
      <c r="P19" s="42"/>
      <c r="Q19" s="99">
        <f>F19+K19</f>
        <v>5100</v>
      </c>
    </row>
    <row r="20" spans="1:17" ht="30">
      <c r="A20" s="53" t="s">
        <v>350</v>
      </c>
      <c r="B20" s="58">
        <v>4080</v>
      </c>
      <c r="C20" s="57" t="s">
        <v>349</v>
      </c>
      <c r="D20" s="97" t="s">
        <v>87</v>
      </c>
      <c r="E20" s="98" t="s">
        <v>222</v>
      </c>
      <c r="F20" s="99">
        <f>G20+J20</f>
        <v>0</v>
      </c>
      <c r="G20" s="42"/>
      <c r="H20" s="42"/>
      <c r="I20" s="42"/>
      <c r="J20" s="42"/>
      <c r="K20" s="99">
        <f>L20+O20</f>
        <v>0</v>
      </c>
      <c r="L20" s="42"/>
      <c r="M20" s="42"/>
      <c r="N20" s="42"/>
      <c r="O20" s="42"/>
      <c r="P20" s="42"/>
      <c r="Q20" s="99">
        <f>F20+K20</f>
        <v>0</v>
      </c>
    </row>
    <row r="21" spans="1:17" ht="15.75">
      <c r="A21" s="53" t="s">
        <v>389</v>
      </c>
      <c r="B21" s="106">
        <v>4082</v>
      </c>
      <c r="C21" s="106">
        <v>110502</v>
      </c>
      <c r="D21" s="110" t="s">
        <v>87</v>
      </c>
      <c r="E21" s="111" t="s">
        <v>388</v>
      </c>
      <c r="F21" s="99">
        <f>G21+J21</f>
        <v>293000</v>
      </c>
      <c r="G21" s="42">
        <v>293000</v>
      </c>
      <c r="H21" s="42"/>
      <c r="I21" s="42"/>
      <c r="J21" s="42"/>
      <c r="K21" s="99"/>
      <c r="L21" s="42"/>
      <c r="M21" s="42"/>
      <c r="N21" s="42"/>
      <c r="O21" s="42"/>
      <c r="P21" s="42"/>
      <c r="Q21" s="99">
        <f>F21+K21</f>
        <v>293000</v>
      </c>
    </row>
    <row r="22" spans="1:17" ht="30">
      <c r="A22" s="53" t="s">
        <v>310</v>
      </c>
      <c r="B22" s="54" t="s">
        <v>128</v>
      </c>
      <c r="C22" s="54"/>
      <c r="D22" s="44"/>
      <c r="E22" s="55" t="s">
        <v>311</v>
      </c>
      <c r="F22" s="99">
        <f aca="true" t="shared" si="5" ref="F22:F42">G22+J22</f>
        <v>0</v>
      </c>
      <c r="G22" s="42"/>
      <c r="H22" s="42"/>
      <c r="I22" s="42"/>
      <c r="J22" s="42"/>
      <c r="K22" s="99">
        <f aca="true" t="shared" si="6" ref="K22:K37">L22+O22</f>
        <v>0</v>
      </c>
      <c r="L22" s="42"/>
      <c r="M22" s="42"/>
      <c r="N22" s="42"/>
      <c r="O22" s="42"/>
      <c r="P22" s="42"/>
      <c r="Q22" s="99">
        <f aca="true" t="shared" si="7" ref="Q22:Q42">F22+K22</f>
        <v>0</v>
      </c>
    </row>
    <row r="23" spans="1:17" ht="15.75">
      <c r="A23" s="53" t="s">
        <v>342</v>
      </c>
      <c r="B23" s="102" t="s">
        <v>343</v>
      </c>
      <c r="C23" s="54">
        <v>100102</v>
      </c>
      <c r="D23" s="105" t="s">
        <v>52</v>
      </c>
      <c r="E23" s="52" t="s">
        <v>344</v>
      </c>
      <c r="F23" s="99">
        <f t="shared" si="5"/>
        <v>1361919</v>
      </c>
      <c r="G23" s="42">
        <f>49892+902259+10000+58684+286939+20000+34145</f>
        <v>1361919</v>
      </c>
      <c r="H23" s="42"/>
      <c r="I23" s="42"/>
      <c r="J23" s="42"/>
      <c r="K23" s="99">
        <f t="shared" si="6"/>
        <v>2697663</v>
      </c>
      <c r="L23" s="42"/>
      <c r="M23" s="42"/>
      <c r="N23" s="42"/>
      <c r="O23" s="42">
        <f>50000+1950000+256008+290000+151655</f>
        <v>2697663</v>
      </c>
      <c r="P23" s="42">
        <f>50000+1950000+256008+290000+151655</f>
        <v>2697663</v>
      </c>
      <c r="Q23" s="99">
        <f t="shared" si="7"/>
        <v>4059582</v>
      </c>
    </row>
    <row r="24" spans="1:17" ht="30">
      <c r="A24" s="53" t="s">
        <v>479</v>
      </c>
      <c r="B24" s="102" t="s">
        <v>480</v>
      </c>
      <c r="C24" s="54"/>
      <c r="D24" s="105" t="s">
        <v>52</v>
      </c>
      <c r="E24" s="52" t="s">
        <v>481</v>
      </c>
      <c r="F24" s="99">
        <f t="shared" si="5"/>
        <v>0</v>
      </c>
      <c r="G24" s="42">
        <f>20031+1426-21457</f>
        <v>0</v>
      </c>
      <c r="H24" s="42"/>
      <c r="I24" s="42"/>
      <c r="J24" s="42"/>
      <c r="K24" s="99">
        <f t="shared" si="6"/>
        <v>0</v>
      </c>
      <c r="L24" s="42"/>
      <c r="M24" s="42"/>
      <c r="N24" s="42"/>
      <c r="O24" s="42">
        <f>1086839-1086839</f>
        <v>0</v>
      </c>
      <c r="P24" s="42">
        <f>1086839-1086839</f>
        <v>0</v>
      </c>
      <c r="Q24" s="99">
        <f t="shared" si="7"/>
        <v>0</v>
      </c>
    </row>
    <row r="25" spans="1:17" ht="15.75">
      <c r="A25" s="53" t="s">
        <v>312</v>
      </c>
      <c r="B25" s="102" t="s">
        <v>313</v>
      </c>
      <c r="C25" s="54" t="s">
        <v>107</v>
      </c>
      <c r="D25" s="105" t="s">
        <v>52</v>
      </c>
      <c r="E25" s="52" t="s">
        <v>314</v>
      </c>
      <c r="F25" s="99">
        <f t="shared" si="5"/>
        <v>1205776</v>
      </c>
      <c r="G25" s="42">
        <f>199000+250000+208109+53400+150000+295267+50000</f>
        <v>1205776</v>
      </c>
      <c r="H25" s="42"/>
      <c r="I25" s="42"/>
      <c r="J25" s="42"/>
      <c r="K25" s="99">
        <f t="shared" si="6"/>
        <v>151565</v>
      </c>
      <c r="L25" s="42"/>
      <c r="M25" s="42"/>
      <c r="N25" s="42"/>
      <c r="O25" s="42">
        <f>2565840-112462-415727-295267-1182062-408757</f>
        <v>151565</v>
      </c>
      <c r="P25" s="42">
        <f>2565840-112462-415727-295267-1182062-408757</f>
        <v>151565</v>
      </c>
      <c r="Q25" s="99">
        <f t="shared" si="7"/>
        <v>1357341</v>
      </c>
    </row>
    <row r="26" spans="1:17" ht="15.75">
      <c r="A26" s="53" t="s">
        <v>315</v>
      </c>
      <c r="B26" s="54" t="s">
        <v>316</v>
      </c>
      <c r="C26" s="54">
        <v>100203</v>
      </c>
      <c r="D26" s="44" t="s">
        <v>52</v>
      </c>
      <c r="E26" s="51" t="s">
        <v>483</v>
      </c>
      <c r="F26" s="99">
        <f t="shared" si="5"/>
        <v>10902644</v>
      </c>
      <c r="G26" s="43">
        <f>10000000-250000-1426-346224+194000+25572+265727+58175+401756+366428+40851+199185-51400</f>
        <v>10902644</v>
      </c>
      <c r="H26" s="42"/>
      <c r="I26" s="42"/>
      <c r="J26" s="42"/>
      <c r="K26" s="99">
        <f t="shared" si="6"/>
        <v>1791348</v>
      </c>
      <c r="L26" s="42"/>
      <c r="M26" s="42"/>
      <c r="N26" s="42"/>
      <c r="O26" s="42">
        <f>4956198+173875-2828375-58175+141260+101240-192506-499424-20000-34145+51400</f>
        <v>1791348</v>
      </c>
      <c r="P26" s="42">
        <f>4956198+173875-2828375-58175+141260+101240-192506-499424-20000-34145+51400</f>
        <v>1791348</v>
      </c>
      <c r="Q26" s="99">
        <f t="shared" si="7"/>
        <v>12693992</v>
      </c>
    </row>
    <row r="27" spans="1:17" ht="15.75">
      <c r="A27" s="53" t="s">
        <v>625</v>
      </c>
      <c r="B27" s="54" t="s">
        <v>627</v>
      </c>
      <c r="C27" s="54"/>
      <c r="D27" s="44"/>
      <c r="E27" s="51" t="s">
        <v>630</v>
      </c>
      <c r="F27" s="99">
        <f t="shared" si="5"/>
        <v>0</v>
      </c>
      <c r="G27" s="43"/>
      <c r="H27" s="42"/>
      <c r="I27" s="42"/>
      <c r="J27" s="42"/>
      <c r="K27" s="99"/>
      <c r="L27" s="42"/>
      <c r="M27" s="42"/>
      <c r="N27" s="42"/>
      <c r="O27" s="42"/>
      <c r="P27" s="42"/>
      <c r="Q27" s="99">
        <f t="shared" si="7"/>
        <v>0</v>
      </c>
    </row>
    <row r="28" spans="1:17" ht="75">
      <c r="A28" s="53" t="s">
        <v>626</v>
      </c>
      <c r="B28" s="102" t="s">
        <v>628</v>
      </c>
      <c r="C28" s="102"/>
      <c r="D28" s="105" t="s">
        <v>629</v>
      </c>
      <c r="E28" s="52" t="s">
        <v>649</v>
      </c>
      <c r="F28" s="99">
        <f t="shared" si="5"/>
        <v>1122062</v>
      </c>
      <c r="G28" s="43">
        <f>1122062</f>
        <v>1122062</v>
      </c>
      <c r="H28" s="42"/>
      <c r="I28" s="42"/>
      <c r="J28" s="42"/>
      <c r="K28" s="99"/>
      <c r="L28" s="42"/>
      <c r="M28" s="42"/>
      <c r="N28" s="42"/>
      <c r="O28" s="42"/>
      <c r="P28" s="42"/>
      <c r="Q28" s="99">
        <f t="shared" si="7"/>
        <v>1122062</v>
      </c>
    </row>
    <row r="29" spans="1:17" ht="15.75">
      <c r="A29" s="53" t="s">
        <v>531</v>
      </c>
      <c r="B29" s="54" t="s">
        <v>532</v>
      </c>
      <c r="C29" s="54"/>
      <c r="D29" s="44"/>
      <c r="E29" s="51" t="s">
        <v>533</v>
      </c>
      <c r="F29" s="99">
        <f t="shared" si="5"/>
        <v>0</v>
      </c>
      <c r="G29" s="42"/>
      <c r="H29" s="42"/>
      <c r="I29" s="42"/>
      <c r="J29" s="42"/>
      <c r="K29" s="99">
        <f t="shared" si="6"/>
        <v>0</v>
      </c>
      <c r="L29" s="42"/>
      <c r="M29" s="42"/>
      <c r="N29" s="42"/>
      <c r="O29" s="42"/>
      <c r="P29" s="42"/>
      <c r="Q29" s="99">
        <f t="shared" si="7"/>
        <v>0</v>
      </c>
    </row>
    <row r="30" spans="1:17" ht="30">
      <c r="A30" s="53" t="s">
        <v>534</v>
      </c>
      <c r="B30" s="54" t="s">
        <v>535</v>
      </c>
      <c r="C30" s="54"/>
      <c r="D30" s="44" t="s">
        <v>536</v>
      </c>
      <c r="E30" s="52" t="s">
        <v>537</v>
      </c>
      <c r="F30" s="99">
        <f t="shared" si="5"/>
        <v>0</v>
      </c>
      <c r="G30" s="42"/>
      <c r="H30" s="42"/>
      <c r="I30" s="42"/>
      <c r="J30" s="42"/>
      <c r="K30" s="99">
        <f t="shared" si="6"/>
        <v>3600000</v>
      </c>
      <c r="L30" s="42"/>
      <c r="M30" s="42"/>
      <c r="N30" s="42"/>
      <c r="O30" s="42">
        <f>900000+1800000+900000</f>
        <v>3600000</v>
      </c>
      <c r="P30" s="42">
        <f>900000+1800000+900000</f>
        <v>3600000</v>
      </c>
      <c r="Q30" s="99">
        <f t="shared" si="7"/>
        <v>3600000</v>
      </c>
    </row>
    <row r="31" spans="1:17" ht="15.75">
      <c r="A31" s="53" t="s">
        <v>401</v>
      </c>
      <c r="B31" s="54" t="s">
        <v>403</v>
      </c>
      <c r="C31" s="54" t="s">
        <v>407</v>
      </c>
      <c r="D31" s="44" t="s">
        <v>406</v>
      </c>
      <c r="E31" s="55" t="s">
        <v>404</v>
      </c>
      <c r="F31" s="99">
        <f t="shared" si="5"/>
        <v>190900</v>
      </c>
      <c r="G31" s="42">
        <f>531900+70000-70000-341000</f>
        <v>190900</v>
      </c>
      <c r="H31" s="84"/>
      <c r="I31" s="42"/>
      <c r="J31" s="42">
        <f>675000-70000+70000-300000-259248-40752-75000</f>
        <v>0</v>
      </c>
      <c r="K31" s="99">
        <f t="shared" si="6"/>
        <v>20000</v>
      </c>
      <c r="L31" s="42"/>
      <c r="M31" s="42"/>
      <c r="N31" s="42"/>
      <c r="O31" s="42">
        <f>20000</f>
        <v>20000</v>
      </c>
      <c r="P31" s="42">
        <f>20000</f>
        <v>20000</v>
      </c>
      <c r="Q31" s="99">
        <f t="shared" si="7"/>
        <v>210900</v>
      </c>
    </row>
    <row r="32" spans="1:17" ht="30">
      <c r="A32" s="53" t="s">
        <v>580</v>
      </c>
      <c r="B32" s="54" t="s">
        <v>581</v>
      </c>
      <c r="C32" s="54"/>
      <c r="D32" s="44" t="s">
        <v>409</v>
      </c>
      <c r="E32" s="55" t="s">
        <v>585</v>
      </c>
      <c r="F32" s="99">
        <f t="shared" si="5"/>
        <v>0</v>
      </c>
      <c r="G32" s="42"/>
      <c r="H32" s="84"/>
      <c r="I32" s="42"/>
      <c r="J32" s="42"/>
      <c r="K32" s="99">
        <f t="shared" si="6"/>
        <v>566200</v>
      </c>
      <c r="L32" s="42"/>
      <c r="M32" s="42"/>
      <c r="N32" s="42"/>
      <c r="O32" s="42">
        <f>300000+100000+11200+65000+90000</f>
        <v>566200</v>
      </c>
      <c r="P32" s="42">
        <f>300000+100000+11200+65000+90000</f>
        <v>566200</v>
      </c>
      <c r="Q32" s="99">
        <f t="shared" si="7"/>
        <v>566200</v>
      </c>
    </row>
    <row r="33" spans="1:17" ht="30">
      <c r="A33" s="53" t="s">
        <v>400</v>
      </c>
      <c r="B33" s="54" t="s">
        <v>402</v>
      </c>
      <c r="C33" s="54" t="s">
        <v>408</v>
      </c>
      <c r="D33" s="44" t="s">
        <v>409</v>
      </c>
      <c r="E33" s="55" t="s">
        <v>405</v>
      </c>
      <c r="F33" s="99">
        <f t="shared" si="5"/>
        <v>1000592</v>
      </c>
      <c r="G33" s="42"/>
      <c r="H33" s="84"/>
      <c r="I33" s="42"/>
      <c r="J33" s="42">
        <f>1050000-4408-45000</f>
        <v>1000592</v>
      </c>
      <c r="K33" s="99">
        <f t="shared" si="6"/>
        <v>0</v>
      </c>
      <c r="L33" s="42"/>
      <c r="M33" s="42"/>
      <c r="N33" s="42"/>
      <c r="O33" s="42"/>
      <c r="P33" s="42"/>
      <c r="Q33" s="99">
        <f t="shared" si="7"/>
        <v>1000592</v>
      </c>
    </row>
    <row r="34" spans="1:17" ht="15.75">
      <c r="A34" s="53" t="s">
        <v>501</v>
      </c>
      <c r="B34" s="58">
        <v>7360</v>
      </c>
      <c r="C34" s="58"/>
      <c r="D34" s="105"/>
      <c r="E34" s="51" t="s">
        <v>454</v>
      </c>
      <c r="F34" s="99">
        <f t="shared" si="5"/>
        <v>0</v>
      </c>
      <c r="G34" s="42"/>
      <c r="H34" s="84"/>
      <c r="I34" s="42"/>
      <c r="J34" s="42"/>
      <c r="K34" s="99">
        <f t="shared" si="6"/>
        <v>0</v>
      </c>
      <c r="L34" s="42"/>
      <c r="M34" s="42"/>
      <c r="N34" s="42"/>
      <c r="O34" s="42"/>
      <c r="P34" s="42"/>
      <c r="Q34" s="99">
        <f t="shared" si="7"/>
        <v>0</v>
      </c>
    </row>
    <row r="35" spans="1:17" ht="30">
      <c r="A35" s="53" t="s">
        <v>502</v>
      </c>
      <c r="B35" s="106">
        <v>7361</v>
      </c>
      <c r="C35" s="58"/>
      <c r="D35" s="105" t="s">
        <v>42</v>
      </c>
      <c r="E35" s="52" t="s">
        <v>455</v>
      </c>
      <c r="F35" s="99"/>
      <c r="G35" s="42"/>
      <c r="H35" s="84"/>
      <c r="I35" s="42"/>
      <c r="J35" s="42"/>
      <c r="K35" s="99">
        <f t="shared" si="6"/>
        <v>7187663</v>
      </c>
      <c r="L35" s="42"/>
      <c r="M35" s="42"/>
      <c r="N35" s="42"/>
      <c r="O35" s="42">
        <f>10210563-3022900</f>
        <v>7187663</v>
      </c>
      <c r="P35" s="42">
        <f>10210563-3022900</f>
        <v>7187663</v>
      </c>
      <c r="Q35" s="99">
        <f t="shared" si="7"/>
        <v>7187663</v>
      </c>
    </row>
    <row r="36" spans="1:17" ht="30">
      <c r="A36" s="53" t="s">
        <v>576</v>
      </c>
      <c r="B36" s="106">
        <v>7362</v>
      </c>
      <c r="C36" s="58"/>
      <c r="D36" s="105" t="s">
        <v>42</v>
      </c>
      <c r="E36" s="176" t="s">
        <v>577</v>
      </c>
      <c r="F36" s="99">
        <f t="shared" si="5"/>
        <v>0</v>
      </c>
      <c r="G36" s="42"/>
      <c r="H36" s="84"/>
      <c r="I36" s="42"/>
      <c r="J36" s="42"/>
      <c r="K36" s="99">
        <f t="shared" si="6"/>
        <v>9996200</v>
      </c>
      <c r="L36" s="42"/>
      <c r="M36" s="42"/>
      <c r="N36" s="42"/>
      <c r="O36" s="42">
        <f>9996200</f>
        <v>9996200</v>
      </c>
      <c r="P36" s="42">
        <f>9996200</f>
        <v>9996200</v>
      </c>
      <c r="Q36" s="99">
        <f t="shared" si="7"/>
        <v>9996200</v>
      </c>
    </row>
    <row r="37" spans="1:17" ht="33.75" customHeight="1">
      <c r="A37" s="53" t="s">
        <v>563</v>
      </c>
      <c r="B37" s="106">
        <v>7366</v>
      </c>
      <c r="C37" s="58"/>
      <c r="D37" s="105" t="s">
        <v>42</v>
      </c>
      <c r="E37" s="69" t="s">
        <v>564</v>
      </c>
      <c r="F37" s="99">
        <f t="shared" si="5"/>
        <v>0</v>
      </c>
      <c r="G37" s="42"/>
      <c r="H37" s="84"/>
      <c r="I37" s="42"/>
      <c r="J37" s="42"/>
      <c r="K37" s="99">
        <f t="shared" si="6"/>
        <v>2530639</v>
      </c>
      <c r="L37" s="42"/>
      <c r="M37" s="42"/>
      <c r="N37" s="42"/>
      <c r="O37" s="42">
        <f>2530639</f>
        <v>2530639</v>
      </c>
      <c r="P37" s="42">
        <f>615867</f>
        <v>615867</v>
      </c>
      <c r="Q37" s="99">
        <f t="shared" si="7"/>
        <v>2530639</v>
      </c>
    </row>
    <row r="38" spans="1:17" ht="15.75">
      <c r="A38" s="53" t="s">
        <v>421</v>
      </c>
      <c r="B38" s="54" t="s">
        <v>422</v>
      </c>
      <c r="C38" s="54">
        <v>180109</v>
      </c>
      <c r="D38" s="44" t="s">
        <v>42</v>
      </c>
      <c r="E38" s="51" t="s">
        <v>317</v>
      </c>
      <c r="F38" s="99">
        <f t="shared" si="5"/>
        <v>53300</v>
      </c>
      <c r="G38" s="42">
        <f>37300+750000+16000-750000</f>
        <v>53300</v>
      </c>
      <c r="H38" s="42"/>
      <c r="I38" s="42"/>
      <c r="J38" s="42"/>
      <c r="K38" s="99">
        <f aca="true" t="shared" si="8" ref="K38:K46">L38+O38</f>
        <v>0</v>
      </c>
      <c r="L38" s="42"/>
      <c r="M38" s="42"/>
      <c r="N38" s="42"/>
      <c r="O38" s="42">
        <f>2500000-2500000</f>
        <v>0</v>
      </c>
      <c r="P38" s="42">
        <f>2500000-2500000</f>
        <v>0</v>
      </c>
      <c r="Q38" s="99">
        <f t="shared" si="7"/>
        <v>53300</v>
      </c>
    </row>
    <row r="39" spans="1:17" ht="30">
      <c r="A39" s="53" t="s">
        <v>521</v>
      </c>
      <c r="B39" s="54" t="s">
        <v>523</v>
      </c>
      <c r="C39" s="54"/>
      <c r="D39" s="44"/>
      <c r="E39" s="51" t="s">
        <v>526</v>
      </c>
      <c r="F39" s="99">
        <f t="shared" si="5"/>
        <v>0</v>
      </c>
      <c r="G39" s="42"/>
      <c r="H39" s="42"/>
      <c r="I39" s="42"/>
      <c r="J39" s="42"/>
      <c r="K39" s="99">
        <f t="shared" si="8"/>
        <v>0</v>
      </c>
      <c r="L39" s="42"/>
      <c r="M39" s="42"/>
      <c r="N39" s="42"/>
      <c r="O39" s="42"/>
      <c r="P39" s="42"/>
      <c r="Q39" s="99">
        <f t="shared" si="7"/>
        <v>0</v>
      </c>
    </row>
    <row r="40" spans="1:17" ht="15.75">
      <c r="A40" s="53" t="s">
        <v>631</v>
      </c>
      <c r="B40" s="102" t="s">
        <v>632</v>
      </c>
      <c r="C40" s="102"/>
      <c r="D40" s="105" t="s">
        <v>525</v>
      </c>
      <c r="E40" s="52" t="s">
        <v>633</v>
      </c>
      <c r="F40" s="99">
        <f t="shared" si="5"/>
        <v>315000</v>
      </c>
      <c r="G40" s="42">
        <v>315000</v>
      </c>
      <c r="H40" s="42"/>
      <c r="I40" s="42"/>
      <c r="J40" s="42"/>
      <c r="K40" s="99"/>
      <c r="L40" s="42"/>
      <c r="M40" s="42"/>
      <c r="N40" s="42"/>
      <c r="O40" s="42"/>
      <c r="P40" s="42"/>
      <c r="Q40" s="99">
        <f t="shared" si="7"/>
        <v>315000</v>
      </c>
    </row>
    <row r="41" spans="1:17" ht="15.75">
      <c r="A41" s="53" t="s">
        <v>522</v>
      </c>
      <c r="B41" s="102" t="s">
        <v>524</v>
      </c>
      <c r="C41" s="102"/>
      <c r="D41" s="105" t="s">
        <v>525</v>
      </c>
      <c r="E41" s="52" t="s">
        <v>527</v>
      </c>
      <c r="F41" s="99">
        <f t="shared" si="5"/>
        <v>623489</v>
      </c>
      <c r="G41" s="42">
        <f>301980+20000+288209+13300</f>
        <v>623489</v>
      </c>
      <c r="H41" s="42"/>
      <c r="I41" s="42"/>
      <c r="J41" s="42"/>
      <c r="K41" s="99">
        <f t="shared" si="8"/>
        <v>4550000</v>
      </c>
      <c r="L41" s="42"/>
      <c r="M41" s="42"/>
      <c r="N41" s="42"/>
      <c r="O41" s="42">
        <f>4550000</f>
        <v>4550000</v>
      </c>
      <c r="P41" s="42">
        <f>4550000</f>
        <v>4550000</v>
      </c>
      <c r="Q41" s="99">
        <f t="shared" si="7"/>
        <v>5173489</v>
      </c>
    </row>
    <row r="42" spans="1:17" ht="15.75">
      <c r="A42" s="53" t="s">
        <v>325</v>
      </c>
      <c r="B42" s="54" t="s">
        <v>326</v>
      </c>
      <c r="C42" s="54"/>
      <c r="D42" s="44"/>
      <c r="E42" s="51" t="s">
        <v>328</v>
      </c>
      <c r="F42" s="99">
        <f t="shared" si="5"/>
        <v>0</v>
      </c>
      <c r="G42" s="42"/>
      <c r="H42" s="42"/>
      <c r="I42" s="42"/>
      <c r="J42" s="42"/>
      <c r="K42" s="99">
        <f t="shared" si="8"/>
        <v>0</v>
      </c>
      <c r="L42" s="42"/>
      <c r="M42" s="42"/>
      <c r="N42" s="42"/>
      <c r="O42" s="42"/>
      <c r="P42" s="42"/>
      <c r="Q42" s="99">
        <f t="shared" si="7"/>
        <v>0</v>
      </c>
    </row>
    <row r="43" spans="1:17" ht="30">
      <c r="A43" s="53" t="s">
        <v>329</v>
      </c>
      <c r="B43" s="102" t="s">
        <v>330</v>
      </c>
      <c r="C43" s="54" t="s">
        <v>327</v>
      </c>
      <c r="D43" s="105" t="s">
        <v>356</v>
      </c>
      <c r="E43" s="103" t="s">
        <v>331</v>
      </c>
      <c r="F43" s="99">
        <f t="shared" si="3"/>
        <v>5663536</v>
      </c>
      <c r="G43" s="42">
        <f>5000000+147600+515936</f>
        <v>5663536</v>
      </c>
      <c r="H43" s="84"/>
      <c r="I43" s="42"/>
      <c r="J43" s="42"/>
      <c r="K43" s="99">
        <f t="shared" si="8"/>
        <v>11858614</v>
      </c>
      <c r="L43" s="42"/>
      <c r="M43" s="42"/>
      <c r="N43" s="42"/>
      <c r="O43" s="42">
        <f>7867400-69947+1554197-515936+3022900</f>
        <v>11858614</v>
      </c>
      <c r="P43" s="42">
        <f>7867400-69947+1554197-515936+3022900</f>
        <v>11858614</v>
      </c>
      <c r="Q43" s="99">
        <f aca="true" t="shared" si="9" ref="Q43:Q56">F43+K43</f>
        <v>17522150</v>
      </c>
    </row>
    <row r="44" spans="1:17" ht="45">
      <c r="A44" s="53" t="s">
        <v>590</v>
      </c>
      <c r="B44" s="54" t="s">
        <v>591</v>
      </c>
      <c r="C44" s="70"/>
      <c r="D44" s="105" t="s">
        <v>42</v>
      </c>
      <c r="E44" s="55" t="s">
        <v>593</v>
      </c>
      <c r="F44" s="99">
        <f t="shared" si="3"/>
        <v>0</v>
      </c>
      <c r="G44" s="42"/>
      <c r="H44" s="84"/>
      <c r="I44" s="42"/>
      <c r="J44" s="42"/>
      <c r="K44" s="99">
        <f t="shared" si="8"/>
        <v>259248</v>
      </c>
      <c r="L44" s="42"/>
      <c r="M44" s="42"/>
      <c r="N44" s="42"/>
      <c r="O44" s="42">
        <v>259248</v>
      </c>
      <c r="P44" s="42">
        <v>259248</v>
      </c>
      <c r="Q44" s="99">
        <f t="shared" si="9"/>
        <v>259248</v>
      </c>
    </row>
    <row r="45" spans="1:17" ht="15.75">
      <c r="A45" s="53" t="s">
        <v>571</v>
      </c>
      <c r="B45" s="54" t="s">
        <v>572</v>
      </c>
      <c r="C45" s="70"/>
      <c r="D45" s="44" t="s">
        <v>42</v>
      </c>
      <c r="E45" s="55" t="s">
        <v>573</v>
      </c>
      <c r="F45" s="99">
        <f t="shared" si="3"/>
        <v>0</v>
      </c>
      <c r="G45" s="42"/>
      <c r="H45" s="84"/>
      <c r="I45" s="42"/>
      <c r="J45" s="42"/>
      <c r="K45" s="99">
        <f t="shared" si="8"/>
        <v>0</v>
      </c>
      <c r="L45" s="42"/>
      <c r="M45" s="42"/>
      <c r="N45" s="42"/>
      <c r="O45" s="42">
        <f>1300000-1300000</f>
        <v>0</v>
      </c>
      <c r="P45" s="42">
        <f>1300000-1300000</f>
        <v>0</v>
      </c>
      <c r="Q45" s="99">
        <f t="shared" si="9"/>
        <v>0</v>
      </c>
    </row>
    <row r="46" spans="1:17" ht="15.75">
      <c r="A46" s="53" t="s">
        <v>335</v>
      </c>
      <c r="B46" s="54" t="s">
        <v>336</v>
      </c>
      <c r="C46" s="70"/>
      <c r="D46" s="44" t="s">
        <v>42</v>
      </c>
      <c r="E46" s="51" t="s">
        <v>337</v>
      </c>
      <c r="F46" s="99">
        <f t="shared" si="3"/>
        <v>36000</v>
      </c>
      <c r="G46" s="42">
        <f>26000+10000</f>
        <v>36000</v>
      </c>
      <c r="H46" s="42"/>
      <c r="I46" s="42"/>
      <c r="J46" s="42"/>
      <c r="K46" s="99">
        <f t="shared" si="8"/>
        <v>0</v>
      </c>
      <c r="L46" s="42"/>
      <c r="M46" s="42"/>
      <c r="N46" s="42"/>
      <c r="O46" s="42"/>
      <c r="P46" s="42"/>
      <c r="Q46" s="99">
        <f t="shared" si="9"/>
        <v>36000</v>
      </c>
    </row>
    <row r="47" spans="1:17" ht="15.75">
      <c r="A47" s="53" t="s">
        <v>357</v>
      </c>
      <c r="B47" s="54" t="s">
        <v>358</v>
      </c>
      <c r="C47" s="70"/>
      <c r="D47" s="44"/>
      <c r="E47" s="104" t="s">
        <v>359</v>
      </c>
      <c r="F47" s="99">
        <f t="shared" si="3"/>
        <v>0</v>
      </c>
      <c r="G47" s="42"/>
      <c r="H47" s="42"/>
      <c r="I47" s="42"/>
      <c r="J47" s="42"/>
      <c r="K47" s="99"/>
      <c r="L47" s="42"/>
      <c r="M47" s="42"/>
      <c r="N47" s="42"/>
      <c r="O47" s="42"/>
      <c r="P47" s="42"/>
      <c r="Q47" s="99">
        <f t="shared" si="9"/>
        <v>0</v>
      </c>
    </row>
    <row r="48" spans="1:17" ht="15.75">
      <c r="A48" s="53" t="s">
        <v>318</v>
      </c>
      <c r="B48" s="125" t="s">
        <v>319</v>
      </c>
      <c r="C48" s="70">
        <v>180410</v>
      </c>
      <c r="D48" s="105" t="s">
        <v>42</v>
      </c>
      <c r="E48" s="52" t="s">
        <v>104</v>
      </c>
      <c r="F48" s="99">
        <f t="shared" si="3"/>
        <v>144507</v>
      </c>
      <c r="G48" s="42">
        <f>123050+21457</f>
        <v>144507</v>
      </c>
      <c r="H48" s="42"/>
      <c r="I48" s="42">
        <v>21457</v>
      </c>
      <c r="J48" s="42"/>
      <c r="K48" s="99">
        <f aca="true" t="shared" si="10" ref="K48:K56">L48+O48</f>
        <v>0</v>
      </c>
      <c r="L48" s="42"/>
      <c r="M48" s="42"/>
      <c r="N48" s="42"/>
      <c r="O48" s="42"/>
      <c r="P48" s="42"/>
      <c r="Q48" s="99">
        <f t="shared" si="9"/>
        <v>144507</v>
      </c>
    </row>
    <row r="49" spans="1:17" ht="30">
      <c r="A49" s="53" t="s">
        <v>361</v>
      </c>
      <c r="B49" s="54" t="s">
        <v>360</v>
      </c>
      <c r="C49" s="54">
        <v>210105</v>
      </c>
      <c r="D49" s="44" t="s">
        <v>54</v>
      </c>
      <c r="E49" s="51" t="s">
        <v>387</v>
      </c>
      <c r="F49" s="99">
        <f t="shared" si="3"/>
        <v>96300</v>
      </c>
      <c r="G49" s="42">
        <v>96300</v>
      </c>
      <c r="H49" s="42"/>
      <c r="I49" s="42"/>
      <c r="J49" s="42"/>
      <c r="K49" s="99">
        <f t="shared" si="10"/>
        <v>0</v>
      </c>
      <c r="L49" s="42"/>
      <c r="M49" s="42"/>
      <c r="N49" s="42"/>
      <c r="O49" s="42"/>
      <c r="P49" s="42"/>
      <c r="Q49" s="99">
        <f t="shared" si="9"/>
        <v>96300</v>
      </c>
    </row>
    <row r="50" spans="1:17" ht="15.75">
      <c r="A50" s="53" t="s">
        <v>320</v>
      </c>
      <c r="B50" s="54" t="s">
        <v>321</v>
      </c>
      <c r="C50" s="54">
        <v>210110</v>
      </c>
      <c r="D50" s="44" t="s">
        <v>54</v>
      </c>
      <c r="E50" s="55" t="s">
        <v>324</v>
      </c>
      <c r="F50" s="99">
        <f t="shared" si="3"/>
        <v>10000</v>
      </c>
      <c r="G50" s="42">
        <v>10000</v>
      </c>
      <c r="H50" s="42"/>
      <c r="I50" s="42"/>
      <c r="J50" s="42"/>
      <c r="K50" s="99">
        <f t="shared" si="10"/>
        <v>0</v>
      </c>
      <c r="L50" s="42"/>
      <c r="M50" s="42"/>
      <c r="N50" s="42"/>
      <c r="O50" s="42"/>
      <c r="P50" s="42"/>
      <c r="Q50" s="99">
        <f t="shared" si="9"/>
        <v>10000</v>
      </c>
    </row>
    <row r="51" spans="1:17" ht="15.75">
      <c r="A51" s="53" t="s">
        <v>322</v>
      </c>
      <c r="B51" s="54" t="s">
        <v>323</v>
      </c>
      <c r="C51" s="54" t="s">
        <v>122</v>
      </c>
      <c r="D51" s="44" t="s">
        <v>54</v>
      </c>
      <c r="E51" s="59" t="s">
        <v>307</v>
      </c>
      <c r="F51" s="99">
        <f t="shared" si="3"/>
        <v>5350000</v>
      </c>
      <c r="G51" s="42">
        <v>5350000</v>
      </c>
      <c r="H51" s="42">
        <v>3769928</v>
      </c>
      <c r="I51" s="42">
        <f>119280-67680</f>
        <v>51600</v>
      </c>
      <c r="J51" s="42"/>
      <c r="K51" s="99">
        <f t="shared" si="10"/>
        <v>46662</v>
      </c>
      <c r="L51" s="43"/>
      <c r="M51" s="42"/>
      <c r="N51" s="42"/>
      <c r="O51" s="42">
        <f>46662</f>
        <v>46662</v>
      </c>
      <c r="P51" s="42">
        <f>46662</f>
        <v>46662</v>
      </c>
      <c r="Q51" s="99">
        <f t="shared" si="9"/>
        <v>5396662</v>
      </c>
    </row>
    <row r="52" spans="1:17" ht="15.75">
      <c r="A52" s="53" t="s">
        <v>548</v>
      </c>
      <c r="B52" s="54" t="s">
        <v>549</v>
      </c>
      <c r="C52" s="54"/>
      <c r="D52" s="44"/>
      <c r="E52" s="59" t="s">
        <v>550</v>
      </c>
      <c r="F52" s="99">
        <f t="shared" si="3"/>
        <v>0</v>
      </c>
      <c r="G52" s="42"/>
      <c r="H52" s="42"/>
      <c r="I52" s="42"/>
      <c r="J52" s="42"/>
      <c r="K52" s="99">
        <f t="shared" si="10"/>
        <v>0</v>
      </c>
      <c r="L52" s="43"/>
      <c r="M52" s="42"/>
      <c r="N52" s="42"/>
      <c r="O52" s="42"/>
      <c r="P52" s="42"/>
      <c r="Q52" s="99">
        <f t="shared" si="9"/>
        <v>0</v>
      </c>
    </row>
    <row r="53" spans="1:17" ht="15.75">
      <c r="A53" s="53" t="s">
        <v>551</v>
      </c>
      <c r="B53" s="102" t="s">
        <v>552</v>
      </c>
      <c r="C53" s="102"/>
      <c r="D53" s="105" t="s">
        <v>553</v>
      </c>
      <c r="E53" s="167" t="s">
        <v>554</v>
      </c>
      <c r="F53" s="99">
        <f t="shared" si="3"/>
        <v>0</v>
      </c>
      <c r="G53" s="42"/>
      <c r="H53" s="42"/>
      <c r="I53" s="42"/>
      <c r="J53" s="42"/>
      <c r="K53" s="99">
        <f t="shared" si="10"/>
        <v>84539</v>
      </c>
      <c r="L53" s="43">
        <f>55800+28739</f>
        <v>84539</v>
      </c>
      <c r="M53" s="42"/>
      <c r="N53" s="42"/>
      <c r="O53" s="42"/>
      <c r="P53" s="42"/>
      <c r="Q53" s="99">
        <f t="shared" si="9"/>
        <v>84539</v>
      </c>
    </row>
    <row r="54" spans="1:17" ht="15.75">
      <c r="A54" s="53" t="s">
        <v>662</v>
      </c>
      <c r="B54" s="102" t="s">
        <v>663</v>
      </c>
      <c r="C54" s="102"/>
      <c r="D54" s="105" t="s">
        <v>664</v>
      </c>
      <c r="E54" s="167" t="s">
        <v>665</v>
      </c>
      <c r="F54" s="99"/>
      <c r="G54" s="42"/>
      <c r="H54" s="42"/>
      <c r="I54" s="42"/>
      <c r="J54" s="42"/>
      <c r="K54" s="99">
        <f t="shared" si="10"/>
        <v>4000</v>
      </c>
      <c r="L54" s="43">
        <v>4000</v>
      </c>
      <c r="M54" s="42"/>
      <c r="N54" s="42"/>
      <c r="O54" s="42"/>
      <c r="P54" s="42"/>
      <c r="Q54" s="99">
        <f t="shared" si="9"/>
        <v>4000</v>
      </c>
    </row>
    <row r="55" spans="1:17" ht="15.75">
      <c r="A55" s="53" t="s">
        <v>555</v>
      </c>
      <c r="B55" s="54" t="s">
        <v>556</v>
      </c>
      <c r="C55" s="54"/>
      <c r="D55" s="44" t="s">
        <v>106</v>
      </c>
      <c r="E55" s="59" t="s">
        <v>557</v>
      </c>
      <c r="F55" s="99">
        <f t="shared" si="3"/>
        <v>0</v>
      </c>
      <c r="G55" s="42"/>
      <c r="H55" s="42"/>
      <c r="I55" s="42"/>
      <c r="J55" s="42"/>
      <c r="K55" s="99">
        <f t="shared" si="10"/>
        <v>162400</v>
      </c>
      <c r="L55" s="43">
        <f>112200+54200-4000</f>
        <v>162400</v>
      </c>
      <c r="M55" s="42"/>
      <c r="N55" s="42"/>
      <c r="O55" s="42"/>
      <c r="P55" s="42"/>
      <c r="Q55" s="99">
        <f t="shared" si="9"/>
        <v>162400</v>
      </c>
    </row>
    <row r="56" spans="1:17" ht="15.75">
      <c r="A56" s="53" t="s">
        <v>332</v>
      </c>
      <c r="B56" s="54" t="s">
        <v>333</v>
      </c>
      <c r="C56" s="54">
        <v>120201</v>
      </c>
      <c r="D56" s="44" t="s">
        <v>53</v>
      </c>
      <c r="E56" s="78" t="s">
        <v>334</v>
      </c>
      <c r="F56" s="99">
        <f>G56+J56</f>
        <v>199000</v>
      </c>
      <c r="G56" s="42">
        <v>199000</v>
      </c>
      <c r="H56" s="42"/>
      <c r="I56" s="42"/>
      <c r="J56" s="42"/>
      <c r="K56" s="99">
        <f t="shared" si="10"/>
        <v>0</v>
      </c>
      <c r="L56" s="42"/>
      <c r="M56" s="42"/>
      <c r="N56" s="42"/>
      <c r="O56" s="42"/>
      <c r="P56" s="42"/>
      <c r="Q56" s="99">
        <f t="shared" si="9"/>
        <v>199000</v>
      </c>
    </row>
    <row r="57" spans="1:17" ht="29.25">
      <c r="A57" s="257" t="s">
        <v>190</v>
      </c>
      <c r="B57" s="54"/>
      <c r="C57" s="54"/>
      <c r="D57" s="44"/>
      <c r="E57" s="264" t="s">
        <v>362</v>
      </c>
      <c r="F57" s="99">
        <f>F58</f>
        <v>173696920</v>
      </c>
      <c r="G57" s="99">
        <f aca="true" t="shared" si="11" ref="G57:Q57">G58</f>
        <v>173696920</v>
      </c>
      <c r="H57" s="99">
        <f t="shared" si="11"/>
        <v>106139824</v>
      </c>
      <c r="I57" s="99">
        <f t="shared" si="11"/>
        <v>19515387</v>
      </c>
      <c r="J57" s="99">
        <f t="shared" si="11"/>
        <v>0</v>
      </c>
      <c r="K57" s="99">
        <f t="shared" si="11"/>
        <v>42001265</v>
      </c>
      <c r="L57" s="99">
        <f t="shared" si="11"/>
        <v>2296517</v>
      </c>
      <c r="M57" s="99">
        <f t="shared" si="11"/>
        <v>0</v>
      </c>
      <c r="N57" s="99">
        <f t="shared" si="11"/>
        <v>0</v>
      </c>
      <c r="O57" s="99">
        <f t="shared" si="11"/>
        <v>39704748</v>
      </c>
      <c r="P57" s="99">
        <f t="shared" si="11"/>
        <v>27938673</v>
      </c>
      <c r="Q57" s="99">
        <f t="shared" si="11"/>
        <v>215698185</v>
      </c>
    </row>
    <row r="58" spans="1:17" ht="29.25">
      <c r="A58" s="257" t="s">
        <v>353</v>
      </c>
      <c r="B58" s="265"/>
      <c r="C58" s="266"/>
      <c r="D58" s="44"/>
      <c r="E58" s="264" t="s">
        <v>363</v>
      </c>
      <c r="F58" s="99">
        <f>SUM(F59:F87)</f>
        <v>173696920</v>
      </c>
      <c r="G58" s="99">
        <f aca="true" t="shared" si="12" ref="G58:Q58">SUM(G59:G87)</f>
        <v>173696920</v>
      </c>
      <c r="H58" s="99">
        <f t="shared" si="12"/>
        <v>106139824</v>
      </c>
      <c r="I58" s="99">
        <f t="shared" si="12"/>
        <v>19515387</v>
      </c>
      <c r="J58" s="99">
        <f t="shared" si="12"/>
        <v>0</v>
      </c>
      <c r="K58" s="99">
        <f t="shared" si="12"/>
        <v>42001265</v>
      </c>
      <c r="L58" s="99">
        <f t="shared" si="12"/>
        <v>2296517</v>
      </c>
      <c r="M58" s="99">
        <f t="shared" si="12"/>
        <v>0</v>
      </c>
      <c r="N58" s="99">
        <f t="shared" si="12"/>
        <v>0</v>
      </c>
      <c r="O58" s="99">
        <f t="shared" si="12"/>
        <v>39704748</v>
      </c>
      <c r="P58" s="99">
        <f t="shared" si="12"/>
        <v>27938673</v>
      </c>
      <c r="Q58" s="99">
        <f t="shared" si="12"/>
        <v>215698185</v>
      </c>
    </row>
    <row r="59" spans="1:17" ht="30">
      <c r="A59" s="53" t="s">
        <v>191</v>
      </c>
      <c r="B59" s="54" t="s">
        <v>186</v>
      </c>
      <c r="C59" s="54" t="s">
        <v>36</v>
      </c>
      <c r="D59" s="44" t="s">
        <v>28</v>
      </c>
      <c r="E59" s="59" t="s">
        <v>185</v>
      </c>
      <c r="F59" s="99">
        <f t="shared" si="3"/>
        <v>1982590</v>
      </c>
      <c r="G59" s="42">
        <f>1723030+7532+252028</f>
        <v>1982590</v>
      </c>
      <c r="H59" s="42">
        <f>1270007+207540</f>
        <v>1477547</v>
      </c>
      <c r="I59" s="42">
        <v>51239</v>
      </c>
      <c r="J59" s="42"/>
      <c r="K59" s="99">
        <f aca="true" t="shared" si="13" ref="K59:K73">L59+O59</f>
        <v>109700</v>
      </c>
      <c r="L59" s="42"/>
      <c r="M59" s="42"/>
      <c r="N59" s="42"/>
      <c r="O59" s="42">
        <f>25700+84000</f>
        <v>109700</v>
      </c>
      <c r="P59" s="42">
        <f>25700+84000</f>
        <v>109700</v>
      </c>
      <c r="Q59" s="99">
        <f aca="true" t="shared" si="14" ref="Q59:Q69">F59+K59</f>
        <v>2092290</v>
      </c>
    </row>
    <row r="60" spans="1:17" ht="15.75">
      <c r="A60" s="53" t="s">
        <v>243</v>
      </c>
      <c r="B60" s="54" t="s">
        <v>71</v>
      </c>
      <c r="C60" s="54">
        <v>70101</v>
      </c>
      <c r="D60" s="44" t="s">
        <v>62</v>
      </c>
      <c r="E60" s="51" t="s">
        <v>244</v>
      </c>
      <c r="F60" s="99">
        <f t="shared" si="3"/>
        <v>34423761</v>
      </c>
      <c r="G60" s="43">
        <f>34000000+257304-22075-63000-8953+260485</f>
        <v>34423761</v>
      </c>
      <c r="H60" s="43">
        <v>20243671</v>
      </c>
      <c r="I60" s="43">
        <v>4377938</v>
      </c>
      <c r="J60" s="42"/>
      <c r="K60" s="99">
        <f t="shared" si="13"/>
        <v>5992075</v>
      </c>
      <c r="L60" s="42">
        <v>1307511</v>
      </c>
      <c r="M60" s="42"/>
      <c r="N60" s="42"/>
      <c r="O60" s="42">
        <f>1942580+878826+102978+1627048+330617+63000-260485</f>
        <v>4684564</v>
      </c>
      <c r="P60" s="42">
        <f>1942580+878826+102978+1627048+330617+63000-260485</f>
        <v>4684564</v>
      </c>
      <c r="Q60" s="99">
        <f t="shared" si="14"/>
        <v>40415836</v>
      </c>
    </row>
    <row r="61" spans="1:17" ht="45">
      <c r="A61" s="53" t="s">
        <v>245</v>
      </c>
      <c r="B61" s="54" t="s">
        <v>72</v>
      </c>
      <c r="C61" s="54">
        <v>70201</v>
      </c>
      <c r="D61" s="44" t="s">
        <v>63</v>
      </c>
      <c r="E61" s="51" t="s">
        <v>130</v>
      </c>
      <c r="F61" s="99">
        <f t="shared" si="3"/>
        <v>121648102</v>
      </c>
      <c r="G61" s="42">
        <f>18007500+70312900+28460258+1262887+67935+49700+1296+325715+6500-11750+349600+52000+621665+172536+1409016+10634+60000+13342+12310+226758+237300</f>
        <v>121648102</v>
      </c>
      <c r="H61" s="42">
        <f>3688121+14431027+57633525</f>
        <v>75752673</v>
      </c>
      <c r="I61" s="184">
        <f>13441947+1262887</f>
        <v>14704834</v>
      </c>
      <c r="J61" s="42"/>
      <c r="K61" s="99">
        <f t="shared" si="13"/>
        <v>9146496</v>
      </c>
      <c r="L61" s="42">
        <v>985905</v>
      </c>
      <c r="M61" s="42"/>
      <c r="N61" s="42"/>
      <c r="O61" s="42">
        <f>107468+506802+96000+2542882+1272000+989652-172536-1052700-274963+88300+940130-97361-226758+23185+8953+3409537</f>
        <v>8160591</v>
      </c>
      <c r="P61" s="42">
        <f>107468+506802+96000+2542882+1272000+989652-172536-1052700-274963+88300+940130-97361-226758+23185+8953+3409537</f>
        <v>8160591</v>
      </c>
      <c r="Q61" s="99">
        <f t="shared" si="14"/>
        <v>130794598</v>
      </c>
    </row>
    <row r="62" spans="1:17" ht="30">
      <c r="A62" s="53" t="s">
        <v>251</v>
      </c>
      <c r="B62" s="54" t="s">
        <v>50</v>
      </c>
      <c r="C62" s="54">
        <v>70401</v>
      </c>
      <c r="D62" s="44" t="s">
        <v>64</v>
      </c>
      <c r="E62" s="51" t="s">
        <v>131</v>
      </c>
      <c r="F62" s="99">
        <f t="shared" si="3"/>
        <v>2405964</v>
      </c>
      <c r="G62" s="42">
        <v>2405964</v>
      </c>
      <c r="H62" s="42">
        <v>1823059</v>
      </c>
      <c r="I62" s="42">
        <f>85024+2703</f>
        <v>87727</v>
      </c>
      <c r="J62" s="42"/>
      <c r="K62" s="99">
        <f t="shared" si="13"/>
        <v>0</v>
      </c>
      <c r="L62" s="42"/>
      <c r="M62" s="42"/>
      <c r="N62" s="42"/>
      <c r="O62" s="42"/>
      <c r="P62" s="42"/>
      <c r="Q62" s="99">
        <f t="shared" si="14"/>
        <v>2405964</v>
      </c>
    </row>
    <row r="63" spans="1:17" ht="30" customHeight="1">
      <c r="A63" s="53" t="s">
        <v>247</v>
      </c>
      <c r="B63" s="54" t="s">
        <v>248</v>
      </c>
      <c r="C63" s="54">
        <v>70702</v>
      </c>
      <c r="D63" s="44" t="s">
        <v>48</v>
      </c>
      <c r="E63" s="92" t="s">
        <v>246</v>
      </c>
      <c r="F63" s="99">
        <f t="shared" si="3"/>
        <v>50057</v>
      </c>
      <c r="G63" s="42">
        <v>50057</v>
      </c>
      <c r="H63" s="42"/>
      <c r="I63" s="42"/>
      <c r="J63" s="42"/>
      <c r="K63" s="99">
        <f t="shared" si="13"/>
        <v>0</v>
      </c>
      <c r="L63" s="42"/>
      <c r="M63" s="42"/>
      <c r="N63" s="42"/>
      <c r="O63" s="42"/>
      <c r="P63" s="42"/>
      <c r="Q63" s="99">
        <f t="shared" si="14"/>
        <v>50057</v>
      </c>
    </row>
    <row r="64" spans="1:17" ht="15.75">
      <c r="A64" s="53" t="s">
        <v>250</v>
      </c>
      <c r="B64" s="54" t="s">
        <v>123</v>
      </c>
      <c r="C64" s="54">
        <v>70802</v>
      </c>
      <c r="D64" s="44" t="s">
        <v>65</v>
      </c>
      <c r="E64" s="51" t="s">
        <v>249</v>
      </c>
      <c r="F64" s="99">
        <f t="shared" si="3"/>
        <v>627668</v>
      </c>
      <c r="G64" s="42">
        <v>627668</v>
      </c>
      <c r="H64" s="42">
        <v>463465</v>
      </c>
      <c r="I64" s="42">
        <v>14905</v>
      </c>
      <c r="J64" s="42"/>
      <c r="K64" s="99">
        <f t="shared" si="13"/>
        <v>0</v>
      </c>
      <c r="L64" s="42"/>
      <c r="M64" s="42"/>
      <c r="N64" s="42"/>
      <c r="O64" s="42"/>
      <c r="P64" s="42"/>
      <c r="Q64" s="99">
        <f t="shared" si="14"/>
        <v>627668</v>
      </c>
    </row>
    <row r="65" spans="1:17" ht="30">
      <c r="A65" s="53" t="s">
        <v>252</v>
      </c>
      <c r="B65" s="54" t="s">
        <v>152</v>
      </c>
      <c r="C65" s="57" t="s">
        <v>308</v>
      </c>
      <c r="D65" s="44"/>
      <c r="E65" s="51" t="s">
        <v>253</v>
      </c>
      <c r="F65" s="99">
        <f t="shared" si="3"/>
        <v>0</v>
      </c>
      <c r="G65" s="42"/>
      <c r="H65" s="42"/>
      <c r="I65" s="42"/>
      <c r="J65" s="42"/>
      <c r="K65" s="99">
        <f t="shared" si="13"/>
        <v>0</v>
      </c>
      <c r="L65" s="42"/>
      <c r="M65" s="42"/>
      <c r="N65" s="42"/>
      <c r="O65" s="42"/>
      <c r="P65" s="42"/>
      <c r="Q65" s="99">
        <f t="shared" si="14"/>
        <v>0</v>
      </c>
    </row>
    <row r="66" spans="1:17" ht="33.75" customHeight="1">
      <c r="A66" s="53" t="s">
        <v>392</v>
      </c>
      <c r="B66" s="102" t="s">
        <v>368</v>
      </c>
      <c r="C66" s="109"/>
      <c r="D66" s="105" t="s">
        <v>65</v>
      </c>
      <c r="E66" s="52" t="s">
        <v>369</v>
      </c>
      <c r="F66" s="99">
        <f t="shared" si="3"/>
        <v>7599341</v>
      </c>
      <c r="G66" s="42">
        <f>7307052+37933+21800+4105+228451</f>
        <v>7599341</v>
      </c>
      <c r="H66" s="42">
        <f>4830738+20670+180663</f>
        <v>5032071</v>
      </c>
      <c r="I66" s="42">
        <f>198678+4105</f>
        <v>202783</v>
      </c>
      <c r="J66" s="42"/>
      <c r="K66" s="99">
        <f t="shared" si="13"/>
        <v>1797607</v>
      </c>
      <c r="L66" s="42">
        <v>1</v>
      </c>
      <c r="M66" s="42"/>
      <c r="N66" s="42"/>
      <c r="O66" s="42">
        <f>98000+138600+190600+7732205-6361799</f>
        <v>1797606</v>
      </c>
      <c r="P66" s="42">
        <f>98000+138600+190600+7732205-6361799</f>
        <v>1797606</v>
      </c>
      <c r="Q66" s="99">
        <f t="shared" si="14"/>
        <v>9396948</v>
      </c>
    </row>
    <row r="67" spans="1:17" ht="33.75" customHeight="1">
      <c r="A67" s="53" t="s">
        <v>391</v>
      </c>
      <c r="B67" s="102" t="s">
        <v>390</v>
      </c>
      <c r="C67" s="109"/>
      <c r="D67" s="105" t="s">
        <v>65</v>
      </c>
      <c r="E67" s="52" t="s">
        <v>393</v>
      </c>
      <c r="F67" s="99">
        <f t="shared" si="3"/>
        <v>1057219</v>
      </c>
      <c r="G67" s="42">
        <f>915110+29000+41400+71709</f>
        <v>1057219</v>
      </c>
      <c r="H67" s="42"/>
      <c r="I67" s="42"/>
      <c r="J67" s="42"/>
      <c r="K67" s="99">
        <f t="shared" si="13"/>
        <v>0</v>
      </c>
      <c r="L67" s="42"/>
      <c r="M67" s="42"/>
      <c r="N67" s="42"/>
      <c r="O67" s="42"/>
      <c r="P67" s="42"/>
      <c r="Q67" s="99">
        <f t="shared" si="14"/>
        <v>1057219</v>
      </c>
    </row>
    <row r="68" spans="1:17" ht="45">
      <c r="A68" s="53" t="s">
        <v>309</v>
      </c>
      <c r="B68" s="58">
        <v>3030</v>
      </c>
      <c r="C68" s="57"/>
      <c r="D68" s="44"/>
      <c r="E68" s="51" t="s">
        <v>650</v>
      </c>
      <c r="F68" s="99">
        <f t="shared" si="3"/>
        <v>0</v>
      </c>
      <c r="G68" s="42"/>
      <c r="H68" s="42"/>
      <c r="I68" s="42"/>
      <c r="J68" s="42"/>
      <c r="K68" s="99">
        <f t="shared" si="13"/>
        <v>0</v>
      </c>
      <c r="L68" s="42"/>
      <c r="M68" s="42"/>
      <c r="N68" s="42"/>
      <c r="O68" s="42"/>
      <c r="P68" s="42"/>
      <c r="Q68" s="99"/>
    </row>
    <row r="69" spans="1:17" ht="54" customHeight="1">
      <c r="A69" s="53" t="s">
        <v>341</v>
      </c>
      <c r="B69" s="106">
        <v>3033</v>
      </c>
      <c r="C69" s="54">
        <v>170102</v>
      </c>
      <c r="D69" s="105" t="s">
        <v>70</v>
      </c>
      <c r="E69" s="52" t="s">
        <v>115</v>
      </c>
      <c r="F69" s="99">
        <f t="shared" si="3"/>
        <v>167840</v>
      </c>
      <c r="G69" s="42">
        <v>167840</v>
      </c>
      <c r="H69" s="42"/>
      <c r="I69" s="42"/>
      <c r="J69" s="42"/>
      <c r="K69" s="99">
        <f t="shared" si="13"/>
        <v>0</v>
      </c>
      <c r="L69" s="42"/>
      <c r="M69" s="42"/>
      <c r="N69" s="42"/>
      <c r="O69" s="42"/>
      <c r="P69" s="42"/>
      <c r="Q69" s="99">
        <f t="shared" si="14"/>
        <v>167840</v>
      </c>
    </row>
    <row r="70" spans="1:17" ht="15.75">
      <c r="A70" s="53" t="s">
        <v>235</v>
      </c>
      <c r="B70" s="58">
        <v>3130</v>
      </c>
      <c r="C70" s="54"/>
      <c r="D70" s="44"/>
      <c r="E70" s="94" t="s">
        <v>236</v>
      </c>
      <c r="F70" s="99">
        <f t="shared" si="3"/>
        <v>0</v>
      </c>
      <c r="G70" s="42"/>
      <c r="H70" s="42"/>
      <c r="I70" s="42"/>
      <c r="J70" s="42"/>
      <c r="K70" s="99">
        <f t="shared" si="13"/>
        <v>0</v>
      </c>
      <c r="L70" s="42"/>
      <c r="M70" s="42"/>
      <c r="N70" s="42"/>
      <c r="O70" s="42"/>
      <c r="P70" s="42"/>
      <c r="Q70" s="99">
        <f aca="true" t="shared" si="15" ref="Q70:Q87">F70+K70</f>
        <v>0</v>
      </c>
    </row>
    <row r="71" spans="1:17" ht="15.75">
      <c r="A71" s="53" t="s">
        <v>237</v>
      </c>
      <c r="B71" s="106">
        <v>3133</v>
      </c>
      <c r="C71" s="54"/>
      <c r="D71" s="105" t="s">
        <v>51</v>
      </c>
      <c r="E71" s="52" t="s">
        <v>153</v>
      </c>
      <c r="F71" s="99">
        <f t="shared" si="3"/>
        <v>185000</v>
      </c>
      <c r="G71" s="42">
        <f>100000+85000</f>
        <v>185000</v>
      </c>
      <c r="H71" s="42"/>
      <c r="I71" s="42"/>
      <c r="J71" s="42"/>
      <c r="K71" s="99">
        <f t="shared" si="13"/>
        <v>15000</v>
      </c>
      <c r="L71" s="42"/>
      <c r="M71" s="42"/>
      <c r="N71" s="42"/>
      <c r="O71" s="42">
        <f>15000</f>
        <v>15000</v>
      </c>
      <c r="P71" s="42">
        <f>15000</f>
        <v>15000</v>
      </c>
      <c r="Q71" s="99">
        <f t="shared" si="15"/>
        <v>200000</v>
      </c>
    </row>
    <row r="72" spans="1:17" ht="45">
      <c r="A72" s="53" t="s">
        <v>396</v>
      </c>
      <c r="B72" s="58">
        <v>3140</v>
      </c>
      <c r="C72" s="54"/>
      <c r="D72" s="44" t="s">
        <v>51</v>
      </c>
      <c r="E72" s="51" t="s">
        <v>132</v>
      </c>
      <c r="F72" s="99">
        <f t="shared" si="3"/>
        <v>799375</v>
      </c>
      <c r="G72" s="42">
        <f>399375+200000+200000</f>
        <v>799375</v>
      </c>
      <c r="H72" s="42"/>
      <c r="I72" s="42"/>
      <c r="J72" s="42"/>
      <c r="K72" s="99">
        <f t="shared" si="13"/>
        <v>0</v>
      </c>
      <c r="L72" s="42"/>
      <c r="M72" s="42"/>
      <c r="N72" s="42"/>
      <c r="O72" s="42"/>
      <c r="P72" s="42"/>
      <c r="Q72" s="99">
        <f t="shared" si="15"/>
        <v>799375</v>
      </c>
    </row>
    <row r="73" spans="1:17" ht="15.75">
      <c r="A73" s="53" t="s">
        <v>238</v>
      </c>
      <c r="B73" s="58">
        <v>5010</v>
      </c>
      <c r="C73" s="54"/>
      <c r="D73" s="44"/>
      <c r="E73" s="51" t="s">
        <v>134</v>
      </c>
      <c r="F73" s="99"/>
      <c r="G73" s="42"/>
      <c r="H73" s="42"/>
      <c r="I73" s="42"/>
      <c r="J73" s="42"/>
      <c r="K73" s="99">
        <f t="shared" si="13"/>
        <v>0</v>
      </c>
      <c r="L73" s="42"/>
      <c r="M73" s="42"/>
      <c r="N73" s="42"/>
      <c r="O73" s="42"/>
      <c r="P73" s="42"/>
      <c r="Q73" s="99"/>
    </row>
    <row r="74" spans="1:17" ht="30">
      <c r="A74" s="53" t="s">
        <v>239</v>
      </c>
      <c r="B74" s="106">
        <v>5011</v>
      </c>
      <c r="C74" s="58">
        <v>130102</v>
      </c>
      <c r="D74" s="105" t="s">
        <v>67</v>
      </c>
      <c r="E74" s="52" t="s">
        <v>135</v>
      </c>
      <c r="F74" s="99">
        <f t="shared" si="3"/>
        <v>360000</v>
      </c>
      <c r="G74" s="42">
        <v>360000</v>
      </c>
      <c r="H74" s="42"/>
      <c r="I74" s="42"/>
      <c r="J74" s="42"/>
      <c r="K74" s="99">
        <f>L74+O74</f>
        <v>0</v>
      </c>
      <c r="L74" s="42"/>
      <c r="M74" s="42"/>
      <c r="N74" s="42"/>
      <c r="O74" s="42"/>
      <c r="P74" s="42"/>
      <c r="Q74" s="99">
        <f t="shared" si="15"/>
        <v>360000</v>
      </c>
    </row>
    <row r="75" spans="1:17" ht="30">
      <c r="A75" s="53" t="s">
        <v>240</v>
      </c>
      <c r="B75" s="106">
        <v>5012</v>
      </c>
      <c r="C75" s="58"/>
      <c r="D75" s="105" t="s">
        <v>67</v>
      </c>
      <c r="E75" s="52" t="s">
        <v>651</v>
      </c>
      <c r="F75" s="99">
        <f t="shared" si="3"/>
        <v>240000</v>
      </c>
      <c r="G75" s="42">
        <v>240000</v>
      </c>
      <c r="H75" s="42"/>
      <c r="I75" s="42"/>
      <c r="J75" s="42"/>
      <c r="K75" s="99"/>
      <c r="L75" s="42"/>
      <c r="M75" s="42"/>
      <c r="N75" s="42"/>
      <c r="O75" s="42"/>
      <c r="P75" s="42"/>
      <c r="Q75" s="99">
        <f t="shared" si="15"/>
        <v>240000</v>
      </c>
    </row>
    <row r="76" spans="1:17" ht="15.75">
      <c r="A76" s="53" t="s">
        <v>241</v>
      </c>
      <c r="B76" s="58">
        <v>5030</v>
      </c>
      <c r="C76" s="58"/>
      <c r="D76" s="44"/>
      <c r="E76" s="51" t="s">
        <v>154</v>
      </c>
      <c r="F76" s="99"/>
      <c r="G76" s="42"/>
      <c r="H76" s="42"/>
      <c r="I76" s="42"/>
      <c r="J76" s="42"/>
      <c r="K76" s="99"/>
      <c r="L76" s="42"/>
      <c r="M76" s="42"/>
      <c r="N76" s="42"/>
      <c r="O76" s="42"/>
      <c r="P76" s="42"/>
      <c r="Q76" s="99"/>
    </row>
    <row r="77" spans="1:17" ht="30">
      <c r="A77" s="53" t="s">
        <v>242</v>
      </c>
      <c r="B77" s="106">
        <v>5031</v>
      </c>
      <c r="C77" s="58">
        <v>130107</v>
      </c>
      <c r="D77" s="105" t="s">
        <v>67</v>
      </c>
      <c r="E77" s="52" t="s">
        <v>136</v>
      </c>
      <c r="F77" s="99">
        <f t="shared" si="3"/>
        <v>2000000</v>
      </c>
      <c r="G77" s="42">
        <v>2000000</v>
      </c>
      <c r="H77" s="42">
        <v>1347338</v>
      </c>
      <c r="I77" s="42">
        <v>75961</v>
      </c>
      <c r="J77" s="42"/>
      <c r="K77" s="99">
        <f>L77+O77</f>
        <v>3100</v>
      </c>
      <c r="L77" s="42">
        <v>3100</v>
      </c>
      <c r="M77" s="42"/>
      <c r="N77" s="42"/>
      <c r="O77" s="42"/>
      <c r="P77" s="42"/>
      <c r="Q77" s="99">
        <f t="shared" si="15"/>
        <v>2003100</v>
      </c>
    </row>
    <row r="78" spans="1:17" ht="15.75">
      <c r="A78" s="53" t="s">
        <v>586</v>
      </c>
      <c r="B78" s="58">
        <v>5060</v>
      </c>
      <c r="C78" s="58"/>
      <c r="D78" s="105"/>
      <c r="E78" s="51" t="s">
        <v>588</v>
      </c>
      <c r="F78" s="99">
        <f t="shared" si="3"/>
        <v>0</v>
      </c>
      <c r="G78" s="42"/>
      <c r="H78" s="42"/>
      <c r="I78" s="42"/>
      <c r="J78" s="42"/>
      <c r="K78" s="99">
        <f>L78+O78</f>
        <v>0</v>
      </c>
      <c r="L78" s="42"/>
      <c r="M78" s="42"/>
      <c r="N78" s="42"/>
      <c r="O78" s="42"/>
      <c r="P78" s="42"/>
      <c r="Q78" s="99">
        <f t="shared" si="15"/>
        <v>0</v>
      </c>
    </row>
    <row r="79" spans="1:17" ht="30">
      <c r="A79" s="53" t="s">
        <v>587</v>
      </c>
      <c r="B79" s="106">
        <v>5062</v>
      </c>
      <c r="C79" s="58"/>
      <c r="D79" s="105" t="s">
        <v>67</v>
      </c>
      <c r="E79" s="52" t="s">
        <v>589</v>
      </c>
      <c r="F79" s="99">
        <f t="shared" si="3"/>
        <v>80300</v>
      </c>
      <c r="G79" s="42">
        <v>80300</v>
      </c>
      <c r="H79" s="42"/>
      <c r="I79" s="42"/>
      <c r="J79" s="42"/>
      <c r="K79" s="99">
        <f>L79+O79</f>
        <v>0</v>
      </c>
      <c r="L79" s="42"/>
      <c r="M79" s="42"/>
      <c r="N79" s="42"/>
      <c r="O79" s="42"/>
      <c r="P79" s="42"/>
      <c r="Q79" s="99">
        <f t="shared" si="15"/>
        <v>80300</v>
      </c>
    </row>
    <row r="80" spans="1:17" ht="15.75">
      <c r="A80" s="53" t="s">
        <v>561</v>
      </c>
      <c r="B80" s="106">
        <v>7130</v>
      </c>
      <c r="C80" s="58"/>
      <c r="D80" s="44" t="s">
        <v>406</v>
      </c>
      <c r="E80" s="55" t="s">
        <v>404</v>
      </c>
      <c r="F80" s="99">
        <f t="shared" si="3"/>
        <v>69703</v>
      </c>
      <c r="G80" s="42">
        <f>11750+57953</f>
        <v>69703</v>
      </c>
      <c r="H80" s="42"/>
      <c r="I80" s="42"/>
      <c r="J80" s="42"/>
      <c r="K80" s="99">
        <f>L80+O80</f>
        <v>0</v>
      </c>
      <c r="L80" s="42"/>
      <c r="M80" s="42"/>
      <c r="N80" s="42"/>
      <c r="O80" s="42"/>
      <c r="P80" s="42"/>
      <c r="Q80" s="99">
        <f t="shared" si="15"/>
        <v>69703</v>
      </c>
    </row>
    <row r="81" spans="1:17" ht="15.75">
      <c r="A81" s="53" t="s">
        <v>441</v>
      </c>
      <c r="B81" s="58">
        <v>7320</v>
      </c>
      <c r="C81" s="58"/>
      <c r="D81" s="105"/>
      <c r="E81" s="51" t="s">
        <v>442</v>
      </c>
      <c r="F81" s="99"/>
      <c r="G81" s="42"/>
      <c r="H81" s="42"/>
      <c r="I81" s="42"/>
      <c r="J81" s="42"/>
      <c r="K81" s="99"/>
      <c r="L81" s="42"/>
      <c r="M81" s="42"/>
      <c r="N81" s="42"/>
      <c r="O81" s="42"/>
      <c r="P81" s="42"/>
      <c r="Q81" s="99"/>
    </row>
    <row r="82" spans="1:17" ht="15.75">
      <c r="A82" s="53" t="s">
        <v>440</v>
      </c>
      <c r="B82" s="106">
        <v>7321</v>
      </c>
      <c r="C82" s="58"/>
      <c r="D82" s="105" t="s">
        <v>409</v>
      </c>
      <c r="E82" s="52" t="s">
        <v>443</v>
      </c>
      <c r="F82" s="99">
        <f t="shared" si="3"/>
        <v>0</v>
      </c>
      <c r="G82" s="42"/>
      <c r="H82" s="42"/>
      <c r="I82" s="42"/>
      <c r="J82" s="42"/>
      <c r="K82" s="99">
        <f aca="true" t="shared" si="16" ref="K82:K87">L82+O82</f>
        <v>3454515</v>
      </c>
      <c r="L82" s="42"/>
      <c r="M82" s="42"/>
      <c r="N82" s="42"/>
      <c r="O82" s="42">
        <f>634657+456603+556570+2086034-279349</f>
        <v>3454515</v>
      </c>
      <c r="P82" s="42">
        <f>634657+456603+556570+2086034-279349</f>
        <v>3454515</v>
      </c>
      <c r="Q82" s="99">
        <f t="shared" si="15"/>
        <v>3454515</v>
      </c>
    </row>
    <row r="83" spans="1:17" ht="15.75">
      <c r="A83" s="53" t="s">
        <v>567</v>
      </c>
      <c r="B83" s="106">
        <v>7325</v>
      </c>
      <c r="C83" s="58"/>
      <c r="D83" s="105" t="s">
        <v>409</v>
      </c>
      <c r="E83" s="52" t="s">
        <v>568</v>
      </c>
      <c r="F83" s="99"/>
      <c r="G83" s="42"/>
      <c r="H83" s="42"/>
      <c r="I83" s="42"/>
      <c r="J83" s="42"/>
      <c r="K83" s="99">
        <f t="shared" si="16"/>
        <v>723312</v>
      </c>
      <c r="L83" s="42"/>
      <c r="M83" s="42"/>
      <c r="N83" s="42"/>
      <c r="O83" s="42">
        <f>723312</f>
        <v>723312</v>
      </c>
      <c r="P83" s="42">
        <f>723312</f>
        <v>723312</v>
      </c>
      <c r="Q83" s="99">
        <f t="shared" si="15"/>
        <v>723312</v>
      </c>
    </row>
    <row r="84" spans="1:17" ht="15.75">
      <c r="A84" s="53" t="s">
        <v>452</v>
      </c>
      <c r="B84" s="58">
        <v>7360</v>
      </c>
      <c r="C84" s="58"/>
      <c r="D84" s="105"/>
      <c r="E84" s="51" t="s">
        <v>454</v>
      </c>
      <c r="F84" s="99">
        <f t="shared" si="3"/>
        <v>0</v>
      </c>
      <c r="G84" s="42"/>
      <c r="H84" s="42"/>
      <c r="I84" s="42"/>
      <c r="J84" s="42"/>
      <c r="K84" s="99">
        <f t="shared" si="16"/>
        <v>0</v>
      </c>
      <c r="L84" s="42"/>
      <c r="M84" s="42"/>
      <c r="N84" s="42"/>
      <c r="O84" s="42"/>
      <c r="P84" s="42"/>
      <c r="Q84" s="99">
        <f t="shared" si="15"/>
        <v>0</v>
      </c>
    </row>
    <row r="85" spans="1:17" ht="30">
      <c r="A85" s="53" t="s">
        <v>453</v>
      </c>
      <c r="B85" s="106">
        <v>7361</v>
      </c>
      <c r="C85" s="58"/>
      <c r="D85" s="105" t="s">
        <v>42</v>
      </c>
      <c r="E85" s="52" t="s">
        <v>455</v>
      </c>
      <c r="F85" s="99"/>
      <c r="G85" s="42"/>
      <c r="H85" s="42"/>
      <c r="I85" s="42"/>
      <c r="J85" s="42"/>
      <c r="K85" s="99">
        <f t="shared" si="16"/>
        <v>2691777</v>
      </c>
      <c r="L85" s="42"/>
      <c r="M85" s="42"/>
      <c r="N85" s="42"/>
      <c r="O85" s="42">
        <f>1290145+1401632</f>
        <v>2691777</v>
      </c>
      <c r="P85" s="42">
        <f>1290145+1401632</f>
        <v>2691777</v>
      </c>
      <c r="Q85" s="99">
        <f t="shared" si="15"/>
        <v>2691777</v>
      </c>
    </row>
    <row r="86" spans="1:17" ht="36.75" customHeight="1">
      <c r="A86" s="53" t="s">
        <v>596</v>
      </c>
      <c r="B86" s="106">
        <v>7363</v>
      </c>
      <c r="C86" s="58"/>
      <c r="D86" s="105" t="s">
        <v>42</v>
      </c>
      <c r="E86" s="176" t="s">
        <v>597</v>
      </c>
      <c r="F86" s="99"/>
      <c r="G86" s="42"/>
      <c r="H86" s="42"/>
      <c r="I86" s="42"/>
      <c r="J86" s="42"/>
      <c r="K86" s="99">
        <f t="shared" si="16"/>
        <v>2517174</v>
      </c>
      <c r="L86" s="42"/>
      <c r="M86" s="42"/>
      <c r="N86" s="42"/>
      <c r="O86" s="42">
        <v>2517174</v>
      </c>
      <c r="P86" s="42">
        <v>2517174</v>
      </c>
      <c r="Q86" s="99">
        <f t="shared" si="15"/>
        <v>2517174</v>
      </c>
    </row>
    <row r="87" spans="1:17" ht="30">
      <c r="A87" s="53" t="s">
        <v>565</v>
      </c>
      <c r="B87" s="106">
        <v>7366</v>
      </c>
      <c r="C87" s="58"/>
      <c r="D87" s="105" t="s">
        <v>42</v>
      </c>
      <c r="E87" s="69" t="s">
        <v>564</v>
      </c>
      <c r="F87" s="99">
        <f t="shared" si="3"/>
        <v>0</v>
      </c>
      <c r="G87" s="42"/>
      <c r="H87" s="42"/>
      <c r="I87" s="42"/>
      <c r="J87" s="42"/>
      <c r="K87" s="99">
        <f t="shared" si="16"/>
        <v>15550509</v>
      </c>
      <c r="L87" s="42"/>
      <c r="M87" s="42"/>
      <c r="N87" s="42"/>
      <c r="O87" s="42">
        <f>15550509</f>
        <v>15550509</v>
      </c>
      <c r="P87" s="42">
        <f>3784434</f>
        <v>3784434</v>
      </c>
      <c r="Q87" s="99">
        <f t="shared" si="15"/>
        <v>15550509</v>
      </c>
    </row>
    <row r="88" spans="1:17" ht="29.25">
      <c r="A88" s="267" t="s">
        <v>192</v>
      </c>
      <c r="B88" s="58"/>
      <c r="C88" s="58"/>
      <c r="D88" s="44"/>
      <c r="E88" s="264" t="s">
        <v>173</v>
      </c>
      <c r="F88" s="99">
        <f>F89</f>
        <v>244386055</v>
      </c>
      <c r="G88" s="99">
        <f aca="true" t="shared" si="17" ref="G88:Q88">G89</f>
        <v>244386055</v>
      </c>
      <c r="H88" s="99">
        <f t="shared" si="17"/>
        <v>17448444</v>
      </c>
      <c r="I88" s="99">
        <f t="shared" si="17"/>
        <v>639918</v>
      </c>
      <c r="J88" s="99">
        <f t="shared" si="17"/>
        <v>0</v>
      </c>
      <c r="K88" s="99">
        <f t="shared" si="17"/>
        <v>2782815</v>
      </c>
      <c r="L88" s="99">
        <f t="shared" si="17"/>
        <v>400000</v>
      </c>
      <c r="M88" s="99">
        <f t="shared" si="17"/>
        <v>0</v>
      </c>
      <c r="N88" s="99">
        <f t="shared" si="17"/>
        <v>0</v>
      </c>
      <c r="O88" s="99">
        <f t="shared" si="17"/>
        <v>2382815</v>
      </c>
      <c r="P88" s="99">
        <f t="shared" si="17"/>
        <v>2382815</v>
      </c>
      <c r="Q88" s="99">
        <f t="shared" si="17"/>
        <v>247168870</v>
      </c>
    </row>
    <row r="89" spans="1:17" ht="29.25">
      <c r="A89" s="268" t="s">
        <v>193</v>
      </c>
      <c r="B89" s="163"/>
      <c r="C89" s="266"/>
      <c r="D89" s="44"/>
      <c r="E89" s="264" t="s">
        <v>174</v>
      </c>
      <c r="F89" s="99">
        <f>SUM(F90:F134)</f>
        <v>244386055</v>
      </c>
      <c r="G89" s="99">
        <f aca="true" t="shared" si="18" ref="G89:Q89">SUM(G90:G134)</f>
        <v>244386055</v>
      </c>
      <c r="H89" s="99">
        <f t="shared" si="18"/>
        <v>17448444</v>
      </c>
      <c r="I89" s="99">
        <f t="shared" si="18"/>
        <v>639918</v>
      </c>
      <c r="J89" s="99">
        <f t="shared" si="18"/>
        <v>0</v>
      </c>
      <c r="K89" s="99">
        <f t="shared" si="18"/>
        <v>2782815</v>
      </c>
      <c r="L89" s="99">
        <f t="shared" si="18"/>
        <v>400000</v>
      </c>
      <c r="M89" s="99">
        <f t="shared" si="18"/>
        <v>0</v>
      </c>
      <c r="N89" s="99">
        <f t="shared" si="18"/>
        <v>0</v>
      </c>
      <c r="O89" s="99">
        <f t="shared" si="18"/>
        <v>2382815</v>
      </c>
      <c r="P89" s="99">
        <f t="shared" si="18"/>
        <v>2382815</v>
      </c>
      <c r="Q89" s="99">
        <f t="shared" si="18"/>
        <v>247168870</v>
      </c>
    </row>
    <row r="90" spans="1:17" ht="30">
      <c r="A90" s="53" t="s">
        <v>194</v>
      </c>
      <c r="B90" s="54" t="s">
        <v>186</v>
      </c>
      <c r="C90" s="54" t="s">
        <v>36</v>
      </c>
      <c r="D90" s="44" t="s">
        <v>28</v>
      </c>
      <c r="E90" s="59" t="s">
        <v>185</v>
      </c>
      <c r="F90" s="99">
        <f aca="true" t="shared" si="19" ref="F90:F129">G90+J90</f>
        <v>14413743</v>
      </c>
      <c r="G90" s="42">
        <f>12857131-37400+815188+778824</f>
        <v>14413743</v>
      </c>
      <c r="H90" s="42">
        <f>9603342+646469+638380</f>
        <v>10888191</v>
      </c>
      <c r="I90" s="42">
        <v>172292</v>
      </c>
      <c r="J90" s="42"/>
      <c r="K90" s="99">
        <f>L90+O90</f>
        <v>37400</v>
      </c>
      <c r="L90" s="42"/>
      <c r="M90" s="42"/>
      <c r="N90" s="42"/>
      <c r="O90" s="42">
        <f>37400</f>
        <v>37400</v>
      </c>
      <c r="P90" s="42">
        <f>37400</f>
        <v>37400</v>
      </c>
      <c r="Q90" s="99">
        <f aca="true" t="shared" si="20" ref="Q90:Q141">F90+K90</f>
        <v>14451143</v>
      </c>
    </row>
    <row r="91" spans="1:17" ht="111" customHeight="1">
      <c r="A91" s="53" t="s">
        <v>215</v>
      </c>
      <c r="B91" s="58">
        <v>3230</v>
      </c>
      <c r="C91" s="54" t="s">
        <v>68</v>
      </c>
      <c r="D91" s="44" t="s">
        <v>51</v>
      </c>
      <c r="E91" s="93" t="s">
        <v>652</v>
      </c>
      <c r="F91" s="99">
        <f t="shared" si="19"/>
        <v>1642200</v>
      </c>
      <c r="G91" s="42">
        <f>1821600-179400</f>
        <v>1642200</v>
      </c>
      <c r="H91" s="42"/>
      <c r="I91" s="42"/>
      <c r="J91" s="42"/>
      <c r="K91" s="99">
        <f aca="true" t="shared" si="21" ref="K91:K129">L91+O91</f>
        <v>0</v>
      </c>
      <c r="L91" s="42"/>
      <c r="M91" s="42"/>
      <c r="N91" s="42"/>
      <c r="O91" s="42"/>
      <c r="P91" s="42"/>
      <c r="Q91" s="99">
        <f t="shared" si="20"/>
        <v>1642200</v>
      </c>
    </row>
    <row r="92" spans="1:17" ht="45">
      <c r="A92" s="53" t="s">
        <v>291</v>
      </c>
      <c r="B92" s="58">
        <v>3010</v>
      </c>
      <c r="C92" s="54"/>
      <c r="D92" s="44"/>
      <c r="E92" s="51" t="s">
        <v>653</v>
      </c>
      <c r="F92" s="100">
        <f t="shared" si="19"/>
        <v>0</v>
      </c>
      <c r="G92" s="43"/>
      <c r="H92" s="42"/>
      <c r="I92" s="42"/>
      <c r="J92" s="42"/>
      <c r="K92" s="99">
        <f t="shared" si="21"/>
        <v>0</v>
      </c>
      <c r="L92" s="42"/>
      <c r="M92" s="42"/>
      <c r="N92" s="42"/>
      <c r="O92" s="42"/>
      <c r="P92" s="42"/>
      <c r="Q92" s="99">
        <f t="shared" si="20"/>
        <v>0</v>
      </c>
    </row>
    <row r="93" spans="1:17" ht="30">
      <c r="A93" s="53" t="s">
        <v>292</v>
      </c>
      <c r="B93" s="106">
        <v>3011</v>
      </c>
      <c r="C93" s="57" t="s">
        <v>293</v>
      </c>
      <c r="D93" s="105" t="s">
        <v>69</v>
      </c>
      <c r="E93" s="52" t="s">
        <v>184</v>
      </c>
      <c r="F93" s="100">
        <f t="shared" si="19"/>
        <v>4000000</v>
      </c>
      <c r="G93" s="43">
        <v>4000000</v>
      </c>
      <c r="H93" s="42"/>
      <c r="I93" s="42"/>
      <c r="J93" s="42"/>
      <c r="K93" s="99">
        <f t="shared" si="21"/>
        <v>0</v>
      </c>
      <c r="L93" s="42"/>
      <c r="M93" s="42"/>
      <c r="N93" s="42"/>
      <c r="O93" s="42"/>
      <c r="P93" s="42"/>
      <c r="Q93" s="99">
        <f t="shared" si="20"/>
        <v>4000000</v>
      </c>
    </row>
    <row r="94" spans="1:17" ht="30">
      <c r="A94" s="53" t="s">
        <v>294</v>
      </c>
      <c r="B94" s="106">
        <v>3012</v>
      </c>
      <c r="C94" s="57" t="s">
        <v>73</v>
      </c>
      <c r="D94" s="105" t="s">
        <v>41</v>
      </c>
      <c r="E94" s="52" t="s">
        <v>137</v>
      </c>
      <c r="F94" s="100">
        <f t="shared" si="19"/>
        <v>94817500</v>
      </c>
      <c r="G94" s="43">
        <v>94817500</v>
      </c>
      <c r="H94" s="42"/>
      <c r="I94" s="42"/>
      <c r="J94" s="42"/>
      <c r="K94" s="99">
        <f t="shared" si="21"/>
        <v>0</v>
      </c>
      <c r="L94" s="42"/>
      <c r="M94" s="42"/>
      <c r="N94" s="42"/>
      <c r="O94" s="42"/>
      <c r="P94" s="42"/>
      <c r="Q94" s="99">
        <f t="shared" si="20"/>
        <v>94817500</v>
      </c>
    </row>
    <row r="95" spans="1:17" ht="30">
      <c r="A95" s="53" t="s">
        <v>295</v>
      </c>
      <c r="B95" s="58">
        <v>3020</v>
      </c>
      <c r="C95" s="57"/>
      <c r="D95" s="44"/>
      <c r="E95" s="51" t="s">
        <v>397</v>
      </c>
      <c r="F95" s="100">
        <f t="shared" si="19"/>
        <v>0</v>
      </c>
      <c r="G95" s="43"/>
      <c r="H95" s="42"/>
      <c r="I95" s="42"/>
      <c r="J95" s="42"/>
      <c r="K95" s="99">
        <f t="shared" si="21"/>
        <v>0</v>
      </c>
      <c r="L95" s="42"/>
      <c r="M95" s="42"/>
      <c r="N95" s="42"/>
      <c r="O95" s="42"/>
      <c r="P95" s="42"/>
      <c r="Q95" s="99">
        <f t="shared" si="20"/>
        <v>0</v>
      </c>
    </row>
    <row r="96" spans="1:17" ht="45">
      <c r="A96" s="53" t="s">
        <v>340</v>
      </c>
      <c r="B96" s="106">
        <v>3021</v>
      </c>
      <c r="C96" s="57" t="s">
        <v>296</v>
      </c>
      <c r="D96" s="105" t="s">
        <v>69</v>
      </c>
      <c r="E96" s="52" t="s">
        <v>297</v>
      </c>
      <c r="F96" s="100">
        <f t="shared" si="19"/>
        <v>901700</v>
      </c>
      <c r="G96" s="43">
        <f>778700+123000</f>
        <v>901700</v>
      </c>
      <c r="H96" s="42"/>
      <c r="I96" s="42"/>
      <c r="J96" s="42"/>
      <c r="K96" s="99">
        <f t="shared" si="21"/>
        <v>0</v>
      </c>
      <c r="L96" s="42"/>
      <c r="M96" s="42"/>
      <c r="N96" s="42"/>
      <c r="O96" s="42"/>
      <c r="P96" s="42"/>
      <c r="Q96" s="99">
        <f t="shared" si="20"/>
        <v>901700</v>
      </c>
    </row>
    <row r="97" spans="1:17" ht="30">
      <c r="A97" s="53" t="s">
        <v>298</v>
      </c>
      <c r="B97" s="106">
        <v>3022</v>
      </c>
      <c r="C97" s="57" t="s">
        <v>74</v>
      </c>
      <c r="D97" s="105" t="s">
        <v>41</v>
      </c>
      <c r="E97" s="52" t="s">
        <v>138</v>
      </c>
      <c r="F97" s="100">
        <f t="shared" si="19"/>
        <v>9734100</v>
      </c>
      <c r="G97" s="43">
        <f>10398700-123000-541600</f>
        <v>9734100</v>
      </c>
      <c r="H97" s="42"/>
      <c r="I97" s="42"/>
      <c r="J97" s="42"/>
      <c r="K97" s="99">
        <f t="shared" si="21"/>
        <v>0</v>
      </c>
      <c r="L97" s="42"/>
      <c r="M97" s="42"/>
      <c r="N97" s="42"/>
      <c r="O97" s="42"/>
      <c r="P97" s="42"/>
      <c r="Q97" s="99">
        <f t="shared" si="20"/>
        <v>9734100</v>
      </c>
    </row>
    <row r="98" spans="1:17" ht="45">
      <c r="A98" s="53" t="s">
        <v>299</v>
      </c>
      <c r="B98" s="58">
        <v>3030</v>
      </c>
      <c r="C98" s="57"/>
      <c r="D98" s="44"/>
      <c r="E98" s="51" t="s">
        <v>650</v>
      </c>
      <c r="F98" s="43"/>
      <c r="G98" s="43"/>
      <c r="H98" s="42"/>
      <c r="I98" s="42"/>
      <c r="J98" s="42"/>
      <c r="K98" s="99">
        <f t="shared" si="21"/>
        <v>0</v>
      </c>
      <c r="L98" s="42"/>
      <c r="M98" s="42"/>
      <c r="N98" s="42"/>
      <c r="O98" s="42"/>
      <c r="P98" s="42"/>
      <c r="Q98" s="99">
        <f t="shared" si="20"/>
        <v>0</v>
      </c>
    </row>
    <row r="99" spans="1:17" ht="30">
      <c r="A99" s="53" t="s">
        <v>300</v>
      </c>
      <c r="B99" s="106">
        <v>3031</v>
      </c>
      <c r="C99" s="57" t="s">
        <v>301</v>
      </c>
      <c r="D99" s="105" t="s">
        <v>69</v>
      </c>
      <c r="E99" s="52" t="s">
        <v>302</v>
      </c>
      <c r="F99" s="100">
        <f t="shared" si="19"/>
        <v>160019</v>
      </c>
      <c r="G99" s="43">
        <v>160019</v>
      </c>
      <c r="H99" s="42"/>
      <c r="I99" s="42"/>
      <c r="J99" s="42"/>
      <c r="K99" s="99">
        <f t="shared" si="21"/>
        <v>0</v>
      </c>
      <c r="L99" s="42"/>
      <c r="M99" s="42"/>
      <c r="N99" s="42"/>
      <c r="O99" s="42"/>
      <c r="P99" s="42"/>
      <c r="Q99" s="99">
        <f t="shared" si="20"/>
        <v>160019</v>
      </c>
    </row>
    <row r="100" spans="1:17" ht="15.75">
      <c r="A100" s="53" t="s">
        <v>303</v>
      </c>
      <c r="B100" s="106">
        <v>3032</v>
      </c>
      <c r="C100" s="57" t="s">
        <v>139</v>
      </c>
      <c r="D100" s="105" t="s">
        <v>70</v>
      </c>
      <c r="E100" s="52" t="s">
        <v>140</v>
      </c>
      <c r="F100" s="100">
        <f t="shared" si="19"/>
        <v>237225</v>
      </c>
      <c r="G100" s="43">
        <f>144343+92882</f>
        <v>237225</v>
      </c>
      <c r="H100" s="42"/>
      <c r="I100" s="42"/>
      <c r="J100" s="42"/>
      <c r="K100" s="99">
        <f t="shared" si="21"/>
        <v>0</v>
      </c>
      <c r="L100" s="42"/>
      <c r="M100" s="42"/>
      <c r="N100" s="42"/>
      <c r="O100" s="42"/>
      <c r="P100" s="42"/>
      <c r="Q100" s="99">
        <f t="shared" si="20"/>
        <v>237225</v>
      </c>
    </row>
    <row r="101" spans="1:17" ht="30">
      <c r="A101" s="53" t="s">
        <v>304</v>
      </c>
      <c r="B101" s="106">
        <v>3033</v>
      </c>
      <c r="C101" s="54">
        <v>170102</v>
      </c>
      <c r="D101" s="105" t="s">
        <v>70</v>
      </c>
      <c r="E101" s="52" t="s">
        <v>115</v>
      </c>
      <c r="F101" s="100">
        <f t="shared" si="19"/>
        <v>1350000</v>
      </c>
      <c r="G101" s="43">
        <f>1500000-151400+151400-150000</f>
        <v>1350000</v>
      </c>
      <c r="H101" s="42"/>
      <c r="I101" s="42"/>
      <c r="J101" s="42"/>
      <c r="K101" s="99">
        <f t="shared" si="21"/>
        <v>0</v>
      </c>
      <c r="L101" s="42"/>
      <c r="M101" s="42"/>
      <c r="N101" s="42"/>
      <c r="O101" s="42"/>
      <c r="P101" s="42"/>
      <c r="Q101" s="99">
        <f t="shared" si="20"/>
        <v>1350000</v>
      </c>
    </row>
    <row r="102" spans="1:17" ht="54" customHeight="1">
      <c r="A102" s="53" t="s">
        <v>305</v>
      </c>
      <c r="B102" s="106">
        <v>3035</v>
      </c>
      <c r="C102" s="54">
        <v>170302</v>
      </c>
      <c r="D102" s="105" t="s">
        <v>70</v>
      </c>
      <c r="E102" s="52" t="s">
        <v>116</v>
      </c>
      <c r="F102" s="100">
        <f t="shared" si="19"/>
        <v>1000000</v>
      </c>
      <c r="G102" s="43">
        <v>1000000</v>
      </c>
      <c r="H102" s="42"/>
      <c r="I102" s="42"/>
      <c r="J102" s="42"/>
      <c r="K102" s="99">
        <f t="shared" si="21"/>
        <v>0</v>
      </c>
      <c r="L102" s="42"/>
      <c r="M102" s="42"/>
      <c r="N102" s="42"/>
      <c r="O102" s="42"/>
      <c r="P102" s="42"/>
      <c r="Q102" s="99">
        <f t="shared" si="20"/>
        <v>1000000</v>
      </c>
    </row>
    <row r="103" spans="1:17" ht="52.5" customHeight="1">
      <c r="A103" s="53" t="s">
        <v>224</v>
      </c>
      <c r="B103" s="58">
        <v>3040</v>
      </c>
      <c r="C103" s="57"/>
      <c r="D103" s="44"/>
      <c r="E103" s="51" t="s">
        <v>371</v>
      </c>
      <c r="F103" s="99">
        <f t="shared" si="19"/>
        <v>0</v>
      </c>
      <c r="G103" s="42"/>
      <c r="H103" s="84"/>
      <c r="I103" s="42"/>
      <c r="J103" s="42"/>
      <c r="K103" s="99">
        <f t="shared" si="21"/>
        <v>0</v>
      </c>
      <c r="L103" s="42"/>
      <c r="M103" s="42"/>
      <c r="N103" s="42"/>
      <c r="O103" s="42"/>
      <c r="P103" s="42"/>
      <c r="Q103" s="99">
        <f t="shared" si="20"/>
        <v>0</v>
      </c>
    </row>
    <row r="104" spans="1:17" ht="15.75">
      <c r="A104" s="53" t="s">
        <v>225</v>
      </c>
      <c r="B104" s="106">
        <v>3041</v>
      </c>
      <c r="C104" s="57" t="s">
        <v>75</v>
      </c>
      <c r="D104" s="105" t="s">
        <v>51</v>
      </c>
      <c r="E104" s="52" t="s">
        <v>364</v>
      </c>
      <c r="F104" s="99">
        <f t="shared" si="19"/>
        <v>353000</v>
      </c>
      <c r="G104" s="43">
        <f>353000</f>
        <v>353000</v>
      </c>
      <c r="H104" s="42"/>
      <c r="I104" s="42"/>
      <c r="J104" s="42"/>
      <c r="K104" s="99">
        <f t="shared" si="21"/>
        <v>0</v>
      </c>
      <c r="L104" s="42"/>
      <c r="M104" s="42"/>
      <c r="N104" s="42"/>
      <c r="O104" s="42"/>
      <c r="P104" s="42"/>
      <c r="Q104" s="99">
        <f t="shared" si="20"/>
        <v>353000</v>
      </c>
    </row>
    <row r="105" spans="1:17" ht="15.75">
      <c r="A105" s="53" t="s">
        <v>423</v>
      </c>
      <c r="B105" s="106">
        <v>3042</v>
      </c>
      <c r="C105" s="57"/>
      <c r="D105" s="105" t="s">
        <v>51</v>
      </c>
      <c r="E105" s="52" t="s">
        <v>145</v>
      </c>
      <c r="F105" s="99">
        <f t="shared" si="19"/>
        <v>82700</v>
      </c>
      <c r="G105" s="43">
        <v>82700</v>
      </c>
      <c r="H105" s="42"/>
      <c r="I105" s="42"/>
      <c r="J105" s="42"/>
      <c r="K105" s="99"/>
      <c r="L105" s="42"/>
      <c r="M105" s="42"/>
      <c r="N105" s="42"/>
      <c r="O105" s="42"/>
      <c r="P105" s="42"/>
      <c r="Q105" s="99">
        <f t="shared" si="20"/>
        <v>82700</v>
      </c>
    </row>
    <row r="106" spans="1:17" ht="15.75">
      <c r="A106" s="53" t="s">
        <v>226</v>
      </c>
      <c r="B106" s="106">
        <v>3043</v>
      </c>
      <c r="C106" s="57" t="s">
        <v>76</v>
      </c>
      <c r="D106" s="105" t="s">
        <v>51</v>
      </c>
      <c r="E106" s="52" t="s">
        <v>141</v>
      </c>
      <c r="F106" s="99">
        <f t="shared" si="19"/>
        <v>40002080</v>
      </c>
      <c r="G106" s="42">
        <f>40089800-87720</f>
        <v>40002080</v>
      </c>
      <c r="H106" s="42"/>
      <c r="I106" s="42"/>
      <c r="J106" s="42"/>
      <c r="K106" s="99">
        <f t="shared" si="21"/>
        <v>0</v>
      </c>
      <c r="L106" s="42"/>
      <c r="M106" s="42"/>
      <c r="N106" s="42"/>
      <c r="O106" s="42"/>
      <c r="P106" s="42"/>
      <c r="Q106" s="99">
        <f t="shared" si="20"/>
        <v>40002080</v>
      </c>
    </row>
    <row r="107" spans="1:17" ht="15.75">
      <c r="A107" s="53" t="s">
        <v>227</v>
      </c>
      <c r="B107" s="106">
        <v>3044</v>
      </c>
      <c r="C107" s="57" t="s">
        <v>77</v>
      </c>
      <c r="D107" s="105" t="s">
        <v>51</v>
      </c>
      <c r="E107" s="52" t="s">
        <v>142</v>
      </c>
      <c r="F107" s="99">
        <f t="shared" si="19"/>
        <v>5246600</v>
      </c>
      <c r="G107" s="42">
        <v>5246600</v>
      </c>
      <c r="H107" s="42"/>
      <c r="I107" s="42"/>
      <c r="J107" s="42"/>
      <c r="K107" s="99">
        <f t="shared" si="21"/>
        <v>0</v>
      </c>
      <c r="L107" s="42"/>
      <c r="M107" s="42"/>
      <c r="N107" s="42"/>
      <c r="O107" s="42"/>
      <c r="P107" s="42"/>
      <c r="Q107" s="99">
        <f t="shared" si="20"/>
        <v>5246600</v>
      </c>
    </row>
    <row r="108" spans="1:17" ht="15.75">
      <c r="A108" s="53" t="s">
        <v>228</v>
      </c>
      <c r="B108" s="106">
        <v>3045</v>
      </c>
      <c r="C108" s="57" t="s">
        <v>78</v>
      </c>
      <c r="D108" s="105" t="s">
        <v>51</v>
      </c>
      <c r="E108" s="52" t="s">
        <v>143</v>
      </c>
      <c r="F108" s="99">
        <f t="shared" si="19"/>
        <v>15867400</v>
      </c>
      <c r="G108" s="42">
        <v>15867400</v>
      </c>
      <c r="H108" s="42"/>
      <c r="I108" s="42"/>
      <c r="J108" s="42"/>
      <c r="K108" s="99">
        <f t="shared" si="21"/>
        <v>0</v>
      </c>
      <c r="L108" s="42"/>
      <c r="M108" s="42"/>
      <c r="N108" s="42"/>
      <c r="O108" s="42"/>
      <c r="P108" s="42"/>
      <c r="Q108" s="99">
        <f t="shared" si="20"/>
        <v>15867400</v>
      </c>
    </row>
    <row r="109" spans="1:17" ht="15.75">
      <c r="A109" s="53" t="s">
        <v>229</v>
      </c>
      <c r="B109" s="106">
        <v>3046</v>
      </c>
      <c r="C109" s="57" t="s">
        <v>79</v>
      </c>
      <c r="D109" s="105" t="s">
        <v>51</v>
      </c>
      <c r="E109" s="52" t="s">
        <v>144</v>
      </c>
      <c r="F109" s="99">
        <f t="shared" si="19"/>
        <v>92200</v>
      </c>
      <c r="G109" s="42">
        <v>92200</v>
      </c>
      <c r="H109" s="42"/>
      <c r="I109" s="42"/>
      <c r="J109" s="42"/>
      <c r="K109" s="99">
        <f t="shared" si="21"/>
        <v>0</v>
      </c>
      <c r="L109" s="42"/>
      <c r="M109" s="42"/>
      <c r="N109" s="42"/>
      <c r="O109" s="42"/>
      <c r="P109" s="42"/>
      <c r="Q109" s="99">
        <f t="shared" si="20"/>
        <v>92200</v>
      </c>
    </row>
    <row r="110" spans="1:17" ht="15.75">
      <c r="A110" s="53" t="s">
        <v>230</v>
      </c>
      <c r="B110" s="106">
        <v>3047</v>
      </c>
      <c r="C110" s="57" t="s">
        <v>80</v>
      </c>
      <c r="D110" s="105" t="s">
        <v>51</v>
      </c>
      <c r="E110" s="52" t="s">
        <v>146</v>
      </c>
      <c r="F110" s="99">
        <f t="shared" si="19"/>
        <v>23339200</v>
      </c>
      <c r="G110" s="42">
        <f>26574000-3234800</f>
        <v>23339200</v>
      </c>
      <c r="H110" s="42"/>
      <c r="I110" s="42"/>
      <c r="J110" s="42"/>
      <c r="K110" s="99">
        <f t="shared" si="21"/>
        <v>0</v>
      </c>
      <c r="L110" s="42"/>
      <c r="M110" s="42"/>
      <c r="N110" s="42"/>
      <c r="O110" s="42"/>
      <c r="P110" s="42"/>
      <c r="Q110" s="99">
        <f t="shared" si="20"/>
        <v>23339200</v>
      </c>
    </row>
    <row r="111" spans="1:17" ht="42.75" customHeight="1">
      <c r="A111" s="53" t="s">
        <v>603</v>
      </c>
      <c r="B111" s="58">
        <v>3050</v>
      </c>
      <c r="C111" s="57"/>
      <c r="D111" s="44" t="s">
        <v>70</v>
      </c>
      <c r="E111" s="51" t="s">
        <v>604</v>
      </c>
      <c r="F111" s="99">
        <f t="shared" si="19"/>
        <v>20600</v>
      </c>
      <c r="G111" s="42">
        <v>20600</v>
      </c>
      <c r="H111" s="42"/>
      <c r="I111" s="42"/>
      <c r="J111" s="42"/>
      <c r="K111" s="99"/>
      <c r="L111" s="42"/>
      <c r="M111" s="42"/>
      <c r="N111" s="42"/>
      <c r="O111" s="42"/>
      <c r="P111" s="42"/>
      <c r="Q111" s="99">
        <f t="shared" si="20"/>
        <v>20600</v>
      </c>
    </row>
    <row r="112" spans="1:17" ht="89.25" customHeight="1">
      <c r="A112" s="53" t="s">
        <v>231</v>
      </c>
      <c r="B112" s="58">
        <v>3080</v>
      </c>
      <c r="C112" s="57" t="s">
        <v>100</v>
      </c>
      <c r="D112" s="44"/>
      <c r="E112" s="93" t="s">
        <v>425</v>
      </c>
      <c r="F112" s="99">
        <f t="shared" si="19"/>
        <v>0</v>
      </c>
      <c r="G112" s="42"/>
      <c r="H112" s="42"/>
      <c r="I112" s="42"/>
      <c r="J112" s="42"/>
      <c r="K112" s="99">
        <f t="shared" si="21"/>
        <v>0</v>
      </c>
      <c r="L112" s="42"/>
      <c r="M112" s="42"/>
      <c r="N112" s="42"/>
      <c r="O112" s="42"/>
      <c r="P112" s="42"/>
      <c r="Q112" s="99">
        <f t="shared" si="20"/>
        <v>0</v>
      </c>
    </row>
    <row r="113" spans="1:17" ht="39" customHeight="1">
      <c r="A113" s="53" t="s">
        <v>424</v>
      </c>
      <c r="B113" s="106">
        <v>3081</v>
      </c>
      <c r="C113" s="109"/>
      <c r="D113" s="105" t="s">
        <v>71</v>
      </c>
      <c r="E113" s="69" t="s">
        <v>370</v>
      </c>
      <c r="F113" s="99">
        <f t="shared" si="19"/>
        <v>13861500</v>
      </c>
      <c r="G113" s="42">
        <v>13861500</v>
      </c>
      <c r="H113" s="42"/>
      <c r="I113" s="42"/>
      <c r="J113" s="42"/>
      <c r="K113" s="99"/>
      <c r="L113" s="42"/>
      <c r="M113" s="42"/>
      <c r="N113" s="42"/>
      <c r="O113" s="42"/>
      <c r="P113" s="42"/>
      <c r="Q113" s="99">
        <f t="shared" si="20"/>
        <v>13861500</v>
      </c>
    </row>
    <row r="114" spans="1:17" ht="39" customHeight="1">
      <c r="A114" s="53" t="s">
        <v>426</v>
      </c>
      <c r="B114" s="106">
        <v>3082</v>
      </c>
      <c r="C114" s="109"/>
      <c r="D114" s="105" t="s">
        <v>71</v>
      </c>
      <c r="E114" s="69" t="s">
        <v>427</v>
      </c>
      <c r="F114" s="99">
        <f t="shared" si="19"/>
        <v>3218000</v>
      </c>
      <c r="G114" s="42">
        <f>3218000</f>
        <v>3218000</v>
      </c>
      <c r="H114" s="42"/>
      <c r="I114" s="42"/>
      <c r="J114" s="42"/>
      <c r="K114" s="99"/>
      <c r="L114" s="42"/>
      <c r="M114" s="42"/>
      <c r="N114" s="42"/>
      <c r="O114" s="42"/>
      <c r="P114" s="42"/>
      <c r="Q114" s="99">
        <f t="shared" si="20"/>
        <v>3218000</v>
      </c>
    </row>
    <row r="115" spans="1:17" ht="45" customHeight="1">
      <c r="A115" s="53" t="s">
        <v>429</v>
      </c>
      <c r="B115" s="106">
        <v>3083</v>
      </c>
      <c r="C115" s="109"/>
      <c r="D115" s="105" t="s">
        <v>71</v>
      </c>
      <c r="E115" s="69" t="s">
        <v>430</v>
      </c>
      <c r="F115" s="99">
        <f t="shared" si="19"/>
        <v>1367700</v>
      </c>
      <c r="G115" s="42">
        <f>1367700</f>
        <v>1367700</v>
      </c>
      <c r="H115" s="42"/>
      <c r="I115" s="42"/>
      <c r="J115" s="42"/>
      <c r="K115" s="99"/>
      <c r="L115" s="42"/>
      <c r="M115" s="42"/>
      <c r="N115" s="42"/>
      <c r="O115" s="42"/>
      <c r="P115" s="42"/>
      <c r="Q115" s="99">
        <f t="shared" si="20"/>
        <v>1367700</v>
      </c>
    </row>
    <row r="116" spans="1:17" ht="45" customHeight="1">
      <c r="A116" s="53" t="s">
        <v>636</v>
      </c>
      <c r="B116" s="106">
        <v>3084</v>
      </c>
      <c r="C116" s="109"/>
      <c r="D116" s="105" t="s">
        <v>51</v>
      </c>
      <c r="E116" s="69" t="s">
        <v>637</v>
      </c>
      <c r="F116" s="99">
        <f t="shared" si="19"/>
        <v>87720</v>
      </c>
      <c r="G116" s="42">
        <f>87720</f>
        <v>87720</v>
      </c>
      <c r="H116" s="42"/>
      <c r="I116" s="42"/>
      <c r="J116" s="42"/>
      <c r="K116" s="99"/>
      <c r="L116" s="42"/>
      <c r="M116" s="42"/>
      <c r="N116" s="42"/>
      <c r="O116" s="42"/>
      <c r="P116" s="42"/>
      <c r="Q116" s="99">
        <f t="shared" si="20"/>
        <v>87720</v>
      </c>
    </row>
    <row r="117" spans="1:17" ht="56.25" customHeight="1">
      <c r="A117" s="53" t="s">
        <v>431</v>
      </c>
      <c r="B117" s="106">
        <v>3085</v>
      </c>
      <c r="C117" s="109"/>
      <c r="D117" s="105" t="s">
        <v>71</v>
      </c>
      <c r="E117" s="69" t="s">
        <v>432</v>
      </c>
      <c r="F117" s="99">
        <f t="shared" si="19"/>
        <v>16800</v>
      </c>
      <c r="G117" s="42">
        <f>16800</f>
        <v>16800</v>
      </c>
      <c r="H117" s="42"/>
      <c r="I117" s="42"/>
      <c r="J117" s="42"/>
      <c r="K117" s="99"/>
      <c r="L117" s="42"/>
      <c r="M117" s="42"/>
      <c r="N117" s="42"/>
      <c r="O117" s="42"/>
      <c r="P117" s="42"/>
      <c r="Q117" s="99">
        <f t="shared" si="20"/>
        <v>16800</v>
      </c>
    </row>
    <row r="118" spans="1:17" ht="56.25" customHeight="1">
      <c r="A118" s="53" t="s">
        <v>605</v>
      </c>
      <c r="B118" s="58">
        <v>3090</v>
      </c>
      <c r="C118" s="57"/>
      <c r="D118" s="44" t="s">
        <v>69</v>
      </c>
      <c r="E118" s="185" t="s">
        <v>606</v>
      </c>
      <c r="F118" s="99">
        <f>G118+J118</f>
        <v>13300</v>
      </c>
      <c r="G118" s="42">
        <v>13300</v>
      </c>
      <c r="H118" s="42"/>
      <c r="I118" s="42"/>
      <c r="J118" s="42"/>
      <c r="K118" s="99"/>
      <c r="L118" s="42"/>
      <c r="M118" s="42"/>
      <c r="N118" s="42"/>
      <c r="O118" s="42"/>
      <c r="P118" s="42"/>
      <c r="Q118" s="99">
        <f>F118+K118</f>
        <v>13300</v>
      </c>
    </row>
    <row r="119" spans="1:17" s="67" customFormat="1" ht="45">
      <c r="A119" s="53" t="s">
        <v>210</v>
      </c>
      <c r="B119" s="106">
        <v>3104</v>
      </c>
      <c r="C119" s="54" t="s">
        <v>81</v>
      </c>
      <c r="D119" s="105" t="s">
        <v>72</v>
      </c>
      <c r="E119" s="69" t="s">
        <v>654</v>
      </c>
      <c r="F119" s="99">
        <f t="shared" si="19"/>
        <v>7566661</v>
      </c>
      <c r="G119" s="42">
        <f>7000000+43137-1296+151400+7808+496702-151400+20310</f>
        <v>7566661</v>
      </c>
      <c r="H119" s="42">
        <f>5197395-1062+25410-25410</f>
        <v>5196333</v>
      </c>
      <c r="I119" s="42">
        <v>367837</v>
      </c>
      <c r="J119" s="42"/>
      <c r="K119" s="99">
        <f t="shared" si="21"/>
        <v>2484956</v>
      </c>
      <c r="L119" s="42">
        <v>400000</v>
      </c>
      <c r="M119" s="42"/>
      <c r="N119" s="42"/>
      <c r="O119" s="42">
        <f>934876+151007+712835+10000+296548-20310</f>
        <v>2084956</v>
      </c>
      <c r="P119" s="42">
        <f>934876+151007+712835+10000+296548-20310</f>
        <v>2084956</v>
      </c>
      <c r="Q119" s="99">
        <f t="shared" si="20"/>
        <v>10051617</v>
      </c>
    </row>
    <row r="120" spans="1:17" s="67" customFormat="1" ht="30">
      <c r="A120" s="53" t="s">
        <v>211</v>
      </c>
      <c r="B120" s="106">
        <v>3105</v>
      </c>
      <c r="C120" s="57" t="s">
        <v>82</v>
      </c>
      <c r="D120" s="105" t="s">
        <v>71</v>
      </c>
      <c r="E120" s="52" t="s">
        <v>373</v>
      </c>
      <c r="F120" s="99">
        <f t="shared" si="19"/>
        <v>1114748</v>
      </c>
      <c r="G120" s="42">
        <v>1114748</v>
      </c>
      <c r="H120" s="42">
        <v>771902</v>
      </c>
      <c r="I120" s="42">
        <v>76052</v>
      </c>
      <c r="J120" s="42"/>
      <c r="K120" s="99">
        <f t="shared" si="21"/>
        <v>0</v>
      </c>
      <c r="L120" s="42"/>
      <c r="M120" s="42"/>
      <c r="N120" s="42"/>
      <c r="O120" s="42"/>
      <c r="P120" s="42"/>
      <c r="Q120" s="99">
        <f t="shared" si="20"/>
        <v>1114748</v>
      </c>
    </row>
    <row r="121" spans="1:17" ht="15.75">
      <c r="A121" s="53" t="s">
        <v>234</v>
      </c>
      <c r="B121" s="95">
        <v>3120</v>
      </c>
      <c r="C121" s="54"/>
      <c r="D121" s="44"/>
      <c r="E121" s="59" t="s">
        <v>133</v>
      </c>
      <c r="F121" s="99"/>
      <c r="G121" s="42" t="s">
        <v>151</v>
      </c>
      <c r="H121" s="42"/>
      <c r="I121" s="42"/>
      <c r="J121" s="42"/>
      <c r="K121" s="99"/>
      <c r="L121" s="42"/>
      <c r="M121" s="42"/>
      <c r="N121" s="42"/>
      <c r="O121" s="42"/>
      <c r="P121" s="42"/>
      <c r="Q121" s="99"/>
    </row>
    <row r="122" spans="1:17" ht="30">
      <c r="A122" s="53" t="s">
        <v>233</v>
      </c>
      <c r="B122" s="107">
        <v>3121</v>
      </c>
      <c r="C122" s="54" t="s">
        <v>66</v>
      </c>
      <c r="D122" s="105" t="s">
        <v>51</v>
      </c>
      <c r="E122" s="69" t="s">
        <v>232</v>
      </c>
      <c r="F122" s="99">
        <f>G122+J122</f>
        <v>702238</v>
      </c>
      <c r="G122" s="42">
        <f>678501+23737</f>
        <v>702238</v>
      </c>
      <c r="H122" s="42">
        <v>545828</v>
      </c>
      <c r="I122" s="42">
        <v>23737</v>
      </c>
      <c r="J122" s="42"/>
      <c r="K122" s="99">
        <f>L122+O122</f>
        <v>0</v>
      </c>
      <c r="L122" s="42"/>
      <c r="M122" s="42"/>
      <c r="N122" s="42"/>
      <c r="O122" s="42">
        <f>382075-382075</f>
        <v>0</v>
      </c>
      <c r="P122" s="42">
        <f>382075-382075</f>
        <v>0</v>
      </c>
      <c r="Q122" s="99">
        <f>F122+K122</f>
        <v>702238</v>
      </c>
    </row>
    <row r="123" spans="1:17" s="67" customFormat="1" ht="60">
      <c r="A123" s="53" t="s">
        <v>212</v>
      </c>
      <c r="B123" s="58">
        <v>3160</v>
      </c>
      <c r="C123" s="57" t="s">
        <v>398</v>
      </c>
      <c r="D123" s="44" t="s">
        <v>71</v>
      </c>
      <c r="E123" s="51" t="s">
        <v>374</v>
      </c>
      <c r="F123" s="99">
        <f>G123+J123</f>
        <v>274600</v>
      </c>
      <c r="G123" s="42">
        <v>274600</v>
      </c>
      <c r="H123" s="42"/>
      <c r="I123" s="42"/>
      <c r="J123" s="42"/>
      <c r="K123" s="99">
        <f t="shared" si="21"/>
        <v>0</v>
      </c>
      <c r="L123" s="42"/>
      <c r="M123" s="42"/>
      <c r="N123" s="42"/>
      <c r="O123" s="42"/>
      <c r="P123" s="42"/>
      <c r="Q123" s="99">
        <f t="shared" si="20"/>
        <v>274600</v>
      </c>
    </row>
    <row r="124" spans="1:17" s="67" customFormat="1" ht="15.75">
      <c r="A124" s="53" t="s">
        <v>607</v>
      </c>
      <c r="B124" s="95">
        <v>3170</v>
      </c>
      <c r="C124" s="54"/>
      <c r="D124" s="44"/>
      <c r="E124" s="51" t="s">
        <v>610</v>
      </c>
      <c r="F124" s="99">
        <f>G124+J124</f>
        <v>0</v>
      </c>
      <c r="G124" s="42"/>
      <c r="H124" s="42"/>
      <c r="I124" s="42"/>
      <c r="J124" s="42"/>
      <c r="K124" s="99"/>
      <c r="L124" s="42"/>
      <c r="M124" s="42"/>
      <c r="N124" s="42"/>
      <c r="O124" s="42"/>
      <c r="P124" s="42"/>
      <c r="Q124" s="99">
        <f t="shared" si="20"/>
        <v>0</v>
      </c>
    </row>
    <row r="125" spans="1:17" s="67" customFormat="1" ht="45">
      <c r="A125" s="53" t="s">
        <v>608</v>
      </c>
      <c r="B125" s="107">
        <v>3171</v>
      </c>
      <c r="C125" s="54"/>
      <c r="D125" s="105" t="s">
        <v>71</v>
      </c>
      <c r="E125" s="52" t="s">
        <v>611</v>
      </c>
      <c r="F125" s="99">
        <f>G125+J125</f>
        <v>9900</v>
      </c>
      <c r="G125" s="42">
        <f>9800+100</f>
        <v>9900</v>
      </c>
      <c r="H125" s="42"/>
      <c r="I125" s="42"/>
      <c r="J125" s="42"/>
      <c r="K125" s="99"/>
      <c r="L125" s="42"/>
      <c r="M125" s="42"/>
      <c r="N125" s="42"/>
      <c r="O125" s="42"/>
      <c r="P125" s="42"/>
      <c r="Q125" s="99">
        <f t="shared" si="20"/>
        <v>9900</v>
      </c>
    </row>
    <row r="126" spans="1:17" s="67" customFormat="1" ht="15.75">
      <c r="A126" s="53" t="s">
        <v>609</v>
      </c>
      <c r="B126" s="107">
        <v>3172</v>
      </c>
      <c r="C126" s="54"/>
      <c r="D126" s="105" t="s">
        <v>71</v>
      </c>
      <c r="E126" s="52" t="s">
        <v>612</v>
      </c>
      <c r="F126" s="99">
        <f>G126+J126</f>
        <v>400</v>
      </c>
      <c r="G126" s="42">
        <v>400</v>
      </c>
      <c r="H126" s="42"/>
      <c r="I126" s="42"/>
      <c r="J126" s="42"/>
      <c r="K126" s="99"/>
      <c r="L126" s="42"/>
      <c r="M126" s="42"/>
      <c r="N126" s="42"/>
      <c r="O126" s="42"/>
      <c r="P126" s="42"/>
      <c r="Q126" s="99">
        <f t="shared" si="20"/>
        <v>400</v>
      </c>
    </row>
    <row r="127" spans="1:17" s="67" customFormat="1" ht="45">
      <c r="A127" s="53" t="s">
        <v>214</v>
      </c>
      <c r="B127" s="58">
        <v>3180</v>
      </c>
      <c r="C127" s="54" t="s">
        <v>83</v>
      </c>
      <c r="D127" s="44" t="s">
        <v>41</v>
      </c>
      <c r="E127" s="45" t="s">
        <v>213</v>
      </c>
      <c r="F127" s="99">
        <f t="shared" si="19"/>
        <v>70231</v>
      </c>
      <c r="G127" s="42">
        <f>14500+37531+9500+8700</f>
        <v>70231</v>
      </c>
      <c r="H127" s="42"/>
      <c r="I127" s="42"/>
      <c r="J127" s="42"/>
      <c r="K127" s="99">
        <f t="shared" si="21"/>
        <v>0</v>
      </c>
      <c r="L127" s="42"/>
      <c r="M127" s="42"/>
      <c r="N127" s="42"/>
      <c r="O127" s="42"/>
      <c r="P127" s="42"/>
      <c r="Q127" s="99">
        <f t="shared" si="20"/>
        <v>70231</v>
      </c>
    </row>
    <row r="128" spans="1:17" s="67" customFormat="1" ht="15.75">
      <c r="A128" s="53" t="s">
        <v>375</v>
      </c>
      <c r="B128" s="58">
        <v>3190</v>
      </c>
      <c r="C128" s="54"/>
      <c r="D128" s="44"/>
      <c r="E128" s="51" t="s">
        <v>148</v>
      </c>
      <c r="F128" s="99">
        <f t="shared" si="19"/>
        <v>0</v>
      </c>
      <c r="G128" s="42"/>
      <c r="H128" s="42"/>
      <c r="I128" s="42"/>
      <c r="J128" s="42"/>
      <c r="K128" s="99">
        <f t="shared" si="21"/>
        <v>0</v>
      </c>
      <c r="L128" s="42"/>
      <c r="M128" s="42"/>
      <c r="N128" s="42"/>
      <c r="O128" s="42"/>
      <c r="P128" s="42"/>
      <c r="Q128" s="99">
        <f t="shared" si="20"/>
        <v>0</v>
      </c>
    </row>
    <row r="129" spans="1:17" s="67" customFormat="1" ht="30">
      <c r="A129" s="53" t="s">
        <v>376</v>
      </c>
      <c r="B129" s="106">
        <v>3192</v>
      </c>
      <c r="C129" s="54" t="s">
        <v>84</v>
      </c>
      <c r="D129" s="105" t="s">
        <v>69</v>
      </c>
      <c r="E129" s="135" t="s">
        <v>428</v>
      </c>
      <c r="F129" s="99">
        <f t="shared" si="19"/>
        <v>393811</v>
      </c>
      <c r="G129" s="42">
        <f>310100+47620+36091</f>
        <v>393811</v>
      </c>
      <c r="H129" s="42"/>
      <c r="I129" s="42"/>
      <c r="J129" s="42"/>
      <c r="K129" s="99">
        <f t="shared" si="21"/>
        <v>47069</v>
      </c>
      <c r="L129" s="42"/>
      <c r="M129" s="42"/>
      <c r="N129" s="42"/>
      <c r="O129" s="42">
        <f>47069</f>
        <v>47069</v>
      </c>
      <c r="P129" s="42">
        <f>47069</f>
        <v>47069</v>
      </c>
      <c r="Q129" s="99">
        <f t="shared" si="20"/>
        <v>440880</v>
      </c>
    </row>
    <row r="130" spans="1:17" ht="15.75">
      <c r="A130" s="53" t="s">
        <v>378</v>
      </c>
      <c r="B130" s="54" t="s">
        <v>377</v>
      </c>
      <c r="C130" s="54" t="s">
        <v>110</v>
      </c>
      <c r="D130" s="44" t="s">
        <v>108</v>
      </c>
      <c r="E130" s="45" t="s">
        <v>109</v>
      </c>
      <c r="F130" s="99">
        <f>G130+J130</f>
        <v>56352</v>
      </c>
      <c r="G130" s="42">
        <v>56352</v>
      </c>
      <c r="H130" s="42">
        <v>46190</v>
      </c>
      <c r="I130" s="42"/>
      <c r="J130" s="42"/>
      <c r="K130" s="99">
        <f>L130+O130</f>
        <v>0</v>
      </c>
      <c r="L130" s="42"/>
      <c r="M130" s="42"/>
      <c r="N130" s="42"/>
      <c r="O130" s="42"/>
      <c r="P130" s="42"/>
      <c r="Q130" s="99">
        <f>F130+K130</f>
        <v>56352</v>
      </c>
    </row>
    <row r="131" spans="1:17" ht="15.75">
      <c r="A131" s="53" t="s">
        <v>379</v>
      </c>
      <c r="B131" s="58">
        <v>3240</v>
      </c>
      <c r="C131" s="54" t="s">
        <v>59</v>
      </c>
      <c r="D131" s="44"/>
      <c r="E131" s="51" t="s">
        <v>208</v>
      </c>
      <c r="F131" s="99"/>
      <c r="G131" s="42"/>
      <c r="H131" s="42"/>
      <c r="I131" s="42"/>
      <c r="J131" s="42"/>
      <c r="K131" s="99"/>
      <c r="L131" s="42"/>
      <c r="M131" s="42"/>
      <c r="N131" s="42"/>
      <c r="O131" s="42"/>
      <c r="P131" s="42"/>
      <c r="Q131" s="99"/>
    </row>
    <row r="132" spans="1:17" s="67" customFormat="1" ht="15.75">
      <c r="A132" s="53" t="s">
        <v>381</v>
      </c>
      <c r="B132" s="106">
        <v>3242</v>
      </c>
      <c r="C132" s="102" t="s">
        <v>59</v>
      </c>
      <c r="D132" s="105" t="s">
        <v>50</v>
      </c>
      <c r="E132" s="52" t="s">
        <v>380</v>
      </c>
      <c r="F132" s="99">
        <f>G132+J132</f>
        <v>2371827</v>
      </c>
      <c r="G132" s="42">
        <f>1000000+500000+6400+13000+7200+2000+55000+100000+373527+113700+51000+150000</f>
        <v>2371827</v>
      </c>
      <c r="H132" s="42"/>
      <c r="I132" s="42"/>
      <c r="J132" s="42"/>
      <c r="K132" s="99">
        <f>L132+O132</f>
        <v>0</v>
      </c>
      <c r="L132" s="42"/>
      <c r="M132" s="42"/>
      <c r="N132" s="42"/>
      <c r="O132" s="42"/>
      <c r="P132" s="42"/>
      <c r="Q132" s="99">
        <f>F132+K132</f>
        <v>2371827</v>
      </c>
    </row>
    <row r="133" spans="1:17" s="67" customFormat="1" ht="15.75">
      <c r="A133" s="53" t="s">
        <v>474</v>
      </c>
      <c r="B133" s="58">
        <v>7320</v>
      </c>
      <c r="C133" s="102"/>
      <c r="D133" s="105"/>
      <c r="E133" s="51" t="s">
        <v>442</v>
      </c>
      <c r="F133" s="99">
        <f>G133+J133</f>
        <v>0</v>
      </c>
      <c r="G133" s="42"/>
      <c r="H133" s="42"/>
      <c r="I133" s="42"/>
      <c r="J133" s="42"/>
      <c r="K133" s="99">
        <f>L133+O133</f>
        <v>0</v>
      </c>
      <c r="L133" s="42"/>
      <c r="M133" s="42"/>
      <c r="N133" s="42"/>
      <c r="O133" s="42"/>
      <c r="P133" s="42"/>
      <c r="Q133" s="99">
        <f>F133+K133</f>
        <v>0</v>
      </c>
    </row>
    <row r="134" spans="1:17" s="67" customFormat="1" ht="15.75">
      <c r="A134" s="53" t="s">
        <v>475</v>
      </c>
      <c r="B134" s="106">
        <v>7323</v>
      </c>
      <c r="C134" s="102"/>
      <c r="D134" s="105" t="s">
        <v>409</v>
      </c>
      <c r="E134" s="159" t="s">
        <v>476</v>
      </c>
      <c r="F134" s="99">
        <f>G134+J134</f>
        <v>0</v>
      </c>
      <c r="G134" s="42"/>
      <c r="H134" s="42"/>
      <c r="I134" s="42"/>
      <c r="J134" s="42"/>
      <c r="K134" s="99">
        <f>L134+O134</f>
        <v>213390</v>
      </c>
      <c r="L134" s="42"/>
      <c r="M134" s="42"/>
      <c r="N134" s="42"/>
      <c r="O134" s="42">
        <v>213390</v>
      </c>
      <c r="P134" s="42">
        <f>213390</f>
        <v>213390</v>
      </c>
      <c r="Q134" s="99">
        <f>F134+K134</f>
        <v>213390</v>
      </c>
    </row>
    <row r="135" spans="1:17" ht="30">
      <c r="A135" s="267" t="s">
        <v>195</v>
      </c>
      <c r="B135" s="58"/>
      <c r="C135" s="58"/>
      <c r="D135" s="44"/>
      <c r="E135" s="264" t="s">
        <v>175</v>
      </c>
      <c r="F135" s="99">
        <f>F136</f>
        <v>5030554</v>
      </c>
      <c r="G135" s="99">
        <f aca="true" t="shared" si="22" ref="G135:Q135">G136</f>
        <v>5030554</v>
      </c>
      <c r="H135" s="99">
        <f t="shared" si="22"/>
        <v>3430709</v>
      </c>
      <c r="I135" s="99">
        <f t="shared" si="22"/>
        <v>326728</v>
      </c>
      <c r="J135" s="99">
        <f t="shared" si="22"/>
        <v>0</v>
      </c>
      <c r="K135" s="99">
        <f t="shared" si="22"/>
        <v>600583</v>
      </c>
      <c r="L135" s="99">
        <f t="shared" si="22"/>
        <v>0</v>
      </c>
      <c r="M135" s="99">
        <f t="shared" si="22"/>
        <v>0</v>
      </c>
      <c r="N135" s="99">
        <f t="shared" si="22"/>
        <v>0</v>
      </c>
      <c r="O135" s="99">
        <f t="shared" si="22"/>
        <v>600583</v>
      </c>
      <c r="P135" s="99">
        <f t="shared" si="22"/>
        <v>600583</v>
      </c>
      <c r="Q135" s="99">
        <f t="shared" si="22"/>
        <v>5631137</v>
      </c>
    </row>
    <row r="136" spans="1:17" ht="30">
      <c r="A136" s="268" t="s">
        <v>196</v>
      </c>
      <c r="B136" s="163"/>
      <c r="C136" s="266"/>
      <c r="D136" s="44"/>
      <c r="E136" s="264" t="s">
        <v>176</v>
      </c>
      <c r="F136" s="99">
        <f>SUM(F137:F141)</f>
        <v>5030554</v>
      </c>
      <c r="G136" s="99">
        <f aca="true" t="shared" si="23" ref="G136:P136">SUM(G137:G141)</f>
        <v>5030554</v>
      </c>
      <c r="H136" s="99">
        <f t="shared" si="23"/>
        <v>3430709</v>
      </c>
      <c r="I136" s="99">
        <f t="shared" si="23"/>
        <v>326728</v>
      </c>
      <c r="J136" s="99">
        <f t="shared" si="23"/>
        <v>0</v>
      </c>
      <c r="K136" s="99">
        <f t="shared" si="23"/>
        <v>600583</v>
      </c>
      <c r="L136" s="99">
        <f t="shared" si="23"/>
        <v>0</v>
      </c>
      <c r="M136" s="99">
        <f t="shared" si="23"/>
        <v>0</v>
      </c>
      <c r="N136" s="99">
        <f t="shared" si="23"/>
        <v>0</v>
      </c>
      <c r="O136" s="99">
        <f t="shared" si="23"/>
        <v>600583</v>
      </c>
      <c r="P136" s="99">
        <f t="shared" si="23"/>
        <v>600583</v>
      </c>
      <c r="Q136" s="99">
        <f>SUM(Q137:Q141)</f>
        <v>5631137</v>
      </c>
    </row>
    <row r="137" spans="1:17" ht="30">
      <c r="A137" s="53" t="s">
        <v>197</v>
      </c>
      <c r="B137" s="54" t="s">
        <v>186</v>
      </c>
      <c r="C137" s="54" t="s">
        <v>36</v>
      </c>
      <c r="D137" s="44" t="s">
        <v>28</v>
      </c>
      <c r="E137" s="59" t="s">
        <v>185</v>
      </c>
      <c r="F137" s="99">
        <f>G137+J137</f>
        <v>1363554</v>
      </c>
      <c r="G137" s="42">
        <f>1113512+250042</f>
        <v>1363554</v>
      </c>
      <c r="H137" s="42">
        <f>824423+204332</f>
        <v>1028755</v>
      </c>
      <c r="I137" s="42">
        <v>31228</v>
      </c>
      <c r="J137" s="42"/>
      <c r="K137" s="99">
        <f>L137+O137</f>
        <v>0</v>
      </c>
      <c r="L137" s="42"/>
      <c r="M137" s="42"/>
      <c r="N137" s="42"/>
      <c r="O137" s="42"/>
      <c r="P137" s="42"/>
      <c r="Q137" s="99">
        <f t="shared" si="20"/>
        <v>1363554</v>
      </c>
    </row>
    <row r="138" spans="1:17" ht="15.75">
      <c r="A138" s="53" t="s">
        <v>338</v>
      </c>
      <c r="B138" s="54" t="s">
        <v>129</v>
      </c>
      <c r="C138" s="47"/>
      <c r="D138" s="46"/>
      <c r="E138" s="55" t="s">
        <v>126</v>
      </c>
      <c r="F138" s="99">
        <f>G138+J138</f>
        <v>0</v>
      </c>
      <c r="G138" s="42"/>
      <c r="H138" s="42"/>
      <c r="I138" s="42"/>
      <c r="J138" s="42"/>
      <c r="K138" s="99">
        <f>L138+O138</f>
        <v>0</v>
      </c>
      <c r="L138" s="42"/>
      <c r="M138" s="42"/>
      <c r="N138" s="42"/>
      <c r="O138" s="42"/>
      <c r="P138" s="42"/>
      <c r="Q138" s="99">
        <f t="shared" si="20"/>
        <v>0</v>
      </c>
    </row>
    <row r="139" spans="1:17" ht="30">
      <c r="A139" s="53" t="s">
        <v>339</v>
      </c>
      <c r="B139" s="102" t="s">
        <v>127</v>
      </c>
      <c r="C139" s="54" t="s">
        <v>60</v>
      </c>
      <c r="D139" s="105" t="s">
        <v>51</v>
      </c>
      <c r="E139" s="52" t="s">
        <v>46</v>
      </c>
      <c r="F139" s="99">
        <f>G139+J139</f>
        <v>3667000</v>
      </c>
      <c r="G139" s="42">
        <v>3667000</v>
      </c>
      <c r="H139" s="42">
        <v>2401954</v>
      </c>
      <c r="I139" s="42">
        <v>295500</v>
      </c>
      <c r="J139" s="42"/>
      <c r="K139" s="99">
        <f>L139+O139</f>
        <v>0</v>
      </c>
      <c r="L139" s="42"/>
      <c r="M139" s="42"/>
      <c r="N139" s="42"/>
      <c r="O139" s="42"/>
      <c r="P139" s="42"/>
      <c r="Q139" s="99">
        <f t="shared" si="20"/>
        <v>3667000</v>
      </c>
    </row>
    <row r="140" spans="1:17" ht="15.75">
      <c r="A140" s="53" t="s">
        <v>602</v>
      </c>
      <c r="B140" s="58">
        <v>732</v>
      </c>
      <c r="C140" s="58"/>
      <c r="D140" s="105"/>
      <c r="E140" s="51" t="s">
        <v>442</v>
      </c>
      <c r="F140" s="99">
        <f>G140+J140</f>
        <v>0</v>
      </c>
      <c r="G140" s="42"/>
      <c r="H140" s="42"/>
      <c r="I140" s="42"/>
      <c r="J140" s="42"/>
      <c r="K140" s="99">
        <f>L140+O140</f>
        <v>0</v>
      </c>
      <c r="L140" s="42"/>
      <c r="M140" s="42"/>
      <c r="N140" s="42"/>
      <c r="O140" s="42"/>
      <c r="P140" s="42"/>
      <c r="Q140" s="99">
        <f t="shared" si="20"/>
        <v>0</v>
      </c>
    </row>
    <row r="141" spans="1:17" ht="15.75">
      <c r="A141" s="53" t="s">
        <v>601</v>
      </c>
      <c r="B141" s="106">
        <v>7323</v>
      </c>
      <c r="C141" s="58"/>
      <c r="D141" s="105" t="s">
        <v>409</v>
      </c>
      <c r="E141" s="159" t="s">
        <v>476</v>
      </c>
      <c r="F141" s="99">
        <f>G141+J141</f>
        <v>0</v>
      </c>
      <c r="G141" s="42"/>
      <c r="H141" s="42"/>
      <c r="I141" s="42"/>
      <c r="J141" s="42"/>
      <c r="K141" s="99">
        <f>L141+O141</f>
        <v>600583</v>
      </c>
      <c r="L141" s="42"/>
      <c r="M141" s="42"/>
      <c r="N141" s="42"/>
      <c r="O141" s="42">
        <f>126049+474534</f>
        <v>600583</v>
      </c>
      <c r="P141" s="42">
        <f>126049+474534</f>
        <v>600583</v>
      </c>
      <c r="Q141" s="99">
        <f t="shared" si="20"/>
        <v>600583</v>
      </c>
    </row>
    <row r="142" spans="1:17" ht="30">
      <c r="A142" s="267" t="s">
        <v>198</v>
      </c>
      <c r="B142" s="54"/>
      <c r="C142" s="54"/>
      <c r="D142" s="44"/>
      <c r="E142" s="264" t="s">
        <v>177</v>
      </c>
      <c r="F142" s="99">
        <f>F143</f>
        <v>13730277</v>
      </c>
      <c r="G142" s="99">
        <f aca="true" t="shared" si="24" ref="G142:Q142">G143</f>
        <v>13730277</v>
      </c>
      <c r="H142" s="99">
        <f t="shared" si="24"/>
        <v>8561472</v>
      </c>
      <c r="I142" s="99">
        <f t="shared" si="24"/>
        <v>1289487</v>
      </c>
      <c r="J142" s="99">
        <f t="shared" si="24"/>
        <v>0</v>
      </c>
      <c r="K142" s="99">
        <f t="shared" si="24"/>
        <v>3054550</v>
      </c>
      <c r="L142" s="99">
        <f t="shared" si="24"/>
        <v>241359</v>
      </c>
      <c r="M142" s="99">
        <f t="shared" si="24"/>
        <v>95900</v>
      </c>
      <c r="N142" s="99">
        <f t="shared" si="24"/>
        <v>35159</v>
      </c>
      <c r="O142" s="99">
        <f t="shared" si="24"/>
        <v>2813191</v>
      </c>
      <c r="P142" s="99">
        <f t="shared" si="24"/>
        <v>2813191</v>
      </c>
      <c r="Q142" s="99">
        <f t="shared" si="24"/>
        <v>16784827</v>
      </c>
    </row>
    <row r="143" spans="1:17" ht="30">
      <c r="A143" s="268" t="s">
        <v>199</v>
      </c>
      <c r="B143" s="269"/>
      <c r="C143" s="270"/>
      <c r="D143" s="44"/>
      <c r="E143" s="264" t="s">
        <v>178</v>
      </c>
      <c r="F143" s="99">
        <f>SUM(F144:F156)</f>
        <v>13730277</v>
      </c>
      <c r="G143" s="99">
        <f aca="true" t="shared" si="25" ref="G143:Q143">SUM(G144:G156)</f>
        <v>13730277</v>
      </c>
      <c r="H143" s="99">
        <f t="shared" si="25"/>
        <v>8561472</v>
      </c>
      <c r="I143" s="99">
        <f t="shared" si="25"/>
        <v>1289487</v>
      </c>
      <c r="J143" s="99">
        <f t="shared" si="25"/>
        <v>0</v>
      </c>
      <c r="K143" s="99">
        <f t="shared" si="25"/>
        <v>3054550</v>
      </c>
      <c r="L143" s="99">
        <f t="shared" si="25"/>
        <v>241359</v>
      </c>
      <c r="M143" s="99">
        <f t="shared" si="25"/>
        <v>95900</v>
      </c>
      <c r="N143" s="99">
        <f t="shared" si="25"/>
        <v>35159</v>
      </c>
      <c r="O143" s="99">
        <f t="shared" si="25"/>
        <v>2813191</v>
      </c>
      <c r="P143" s="99">
        <f t="shared" si="25"/>
        <v>2813191</v>
      </c>
      <c r="Q143" s="99">
        <f t="shared" si="25"/>
        <v>16784827</v>
      </c>
    </row>
    <row r="144" spans="1:17" ht="30">
      <c r="A144" s="53" t="s">
        <v>365</v>
      </c>
      <c r="B144" s="54" t="s">
        <v>186</v>
      </c>
      <c r="C144" s="54" t="s">
        <v>36</v>
      </c>
      <c r="D144" s="44" t="s">
        <v>28</v>
      </c>
      <c r="E144" s="59" t="s">
        <v>185</v>
      </c>
      <c r="F144" s="99">
        <f aca="true" t="shared" si="26" ref="F144:F156">G144+J144</f>
        <v>415010</v>
      </c>
      <c r="G144" s="42">
        <f>293418+121592</f>
        <v>415010</v>
      </c>
      <c r="H144" s="42">
        <f>208270+99665</f>
        <v>307935</v>
      </c>
      <c r="I144" s="42">
        <v>24031</v>
      </c>
      <c r="J144" s="42"/>
      <c r="K144" s="99">
        <f aca="true" t="shared" si="27" ref="K144:K156">L144+O144</f>
        <v>0</v>
      </c>
      <c r="L144" s="42"/>
      <c r="M144" s="42"/>
      <c r="N144" s="42"/>
      <c r="O144" s="42"/>
      <c r="P144" s="42"/>
      <c r="Q144" s="99">
        <f aca="true" t="shared" si="28" ref="Q144:Q156">F144+K144</f>
        <v>415010</v>
      </c>
    </row>
    <row r="145" spans="1:17" ht="30">
      <c r="A145" s="53" t="s">
        <v>306</v>
      </c>
      <c r="B145" s="95">
        <v>1100</v>
      </c>
      <c r="C145" s="95">
        <v>110205</v>
      </c>
      <c r="D145" s="44" t="s">
        <v>64</v>
      </c>
      <c r="E145" s="96" t="s">
        <v>223</v>
      </c>
      <c r="F145" s="99">
        <f>G145+J145</f>
        <v>2857034</v>
      </c>
      <c r="G145" s="42">
        <f>2842128+14906</f>
        <v>2857034</v>
      </c>
      <c r="H145" s="42">
        <v>2042324</v>
      </c>
      <c r="I145" s="42">
        <f>188592+2414</f>
        <v>191006</v>
      </c>
      <c r="J145" s="42"/>
      <c r="K145" s="99">
        <f>L145+O145</f>
        <v>103400</v>
      </c>
      <c r="L145" s="42">
        <v>103400</v>
      </c>
      <c r="M145" s="42">
        <v>80000</v>
      </c>
      <c r="N145" s="42">
        <v>500</v>
      </c>
      <c r="O145" s="42"/>
      <c r="P145" s="42"/>
      <c r="Q145" s="99">
        <f t="shared" si="28"/>
        <v>2960434</v>
      </c>
    </row>
    <row r="146" spans="1:17" ht="15.75">
      <c r="A146" s="53" t="s">
        <v>216</v>
      </c>
      <c r="B146" s="58">
        <v>4030</v>
      </c>
      <c r="C146" s="58">
        <v>110201</v>
      </c>
      <c r="D146" s="44" t="s">
        <v>85</v>
      </c>
      <c r="E146" s="94" t="s">
        <v>217</v>
      </c>
      <c r="F146" s="99">
        <f t="shared" si="26"/>
        <v>3211496</v>
      </c>
      <c r="G146" s="42">
        <f>3157756+52540+1200</f>
        <v>3211496</v>
      </c>
      <c r="H146" s="42">
        <v>2320400</v>
      </c>
      <c r="I146" s="42">
        <f>292700+325+500</f>
        <v>293525</v>
      </c>
      <c r="J146" s="42"/>
      <c r="K146" s="99">
        <f t="shared" si="27"/>
        <v>97235</v>
      </c>
      <c r="L146" s="42">
        <v>2500</v>
      </c>
      <c r="M146" s="42"/>
      <c r="N146" s="42"/>
      <c r="O146" s="42">
        <f>70000+7005+17730</f>
        <v>94735</v>
      </c>
      <c r="P146" s="42">
        <f>70000+7005+17730</f>
        <v>94735</v>
      </c>
      <c r="Q146" s="99">
        <f t="shared" si="28"/>
        <v>3308731</v>
      </c>
    </row>
    <row r="147" spans="1:17" ht="15.75">
      <c r="A147" s="53" t="s">
        <v>218</v>
      </c>
      <c r="B147" s="58">
        <v>4040</v>
      </c>
      <c r="C147" s="58">
        <v>110202</v>
      </c>
      <c r="D147" s="44" t="s">
        <v>85</v>
      </c>
      <c r="E147" s="94" t="s">
        <v>219</v>
      </c>
      <c r="F147" s="99">
        <f t="shared" si="26"/>
        <v>361637</v>
      </c>
      <c r="G147" s="42">
        <f>356589+4448+600</f>
        <v>361637</v>
      </c>
      <c r="H147" s="42">
        <v>173426</v>
      </c>
      <c r="I147" s="42">
        <v>109575</v>
      </c>
      <c r="J147" s="42"/>
      <c r="K147" s="99">
        <f t="shared" si="27"/>
        <v>2100</v>
      </c>
      <c r="L147" s="42">
        <v>2100</v>
      </c>
      <c r="M147" s="42"/>
      <c r="N147" s="42"/>
      <c r="O147" s="42"/>
      <c r="P147" s="42"/>
      <c r="Q147" s="99">
        <f t="shared" si="28"/>
        <v>363737</v>
      </c>
    </row>
    <row r="148" spans="1:17" ht="30">
      <c r="A148" s="53" t="s">
        <v>220</v>
      </c>
      <c r="B148" s="58">
        <v>4060</v>
      </c>
      <c r="C148" s="58">
        <v>110204</v>
      </c>
      <c r="D148" s="97" t="s">
        <v>86</v>
      </c>
      <c r="E148" s="45" t="s">
        <v>655</v>
      </c>
      <c r="F148" s="101">
        <f t="shared" si="26"/>
        <v>5079477</v>
      </c>
      <c r="G148" s="42">
        <f>5156118-24735-80844+28938</f>
        <v>5079477</v>
      </c>
      <c r="H148" s="42">
        <v>3133735</v>
      </c>
      <c r="I148" s="42">
        <f>539580+8298+85000</f>
        <v>632878</v>
      </c>
      <c r="J148" s="42"/>
      <c r="K148" s="99">
        <f t="shared" si="27"/>
        <v>1880986</v>
      </c>
      <c r="L148" s="42">
        <v>133359</v>
      </c>
      <c r="M148" s="42">
        <v>15900</v>
      </c>
      <c r="N148" s="42">
        <v>34659</v>
      </c>
      <c r="O148" s="42">
        <f>1480966+122307+17730+182481-17730-38127</f>
        <v>1747627</v>
      </c>
      <c r="P148" s="42">
        <f>1480966+122307+17730+182481-17730-38127</f>
        <v>1747627</v>
      </c>
      <c r="Q148" s="99">
        <f t="shared" si="28"/>
        <v>6960463</v>
      </c>
    </row>
    <row r="149" spans="1:17" ht="15.75">
      <c r="A149" s="53" t="s">
        <v>221</v>
      </c>
      <c r="B149" s="58">
        <v>4080</v>
      </c>
      <c r="C149" s="58"/>
      <c r="D149" s="97"/>
      <c r="E149" s="98" t="s">
        <v>222</v>
      </c>
      <c r="F149" s="101">
        <f>G149+J149</f>
        <v>0</v>
      </c>
      <c r="G149" s="42"/>
      <c r="H149" s="42"/>
      <c r="I149" s="42"/>
      <c r="J149" s="42"/>
      <c r="K149" s="99">
        <f t="shared" si="27"/>
        <v>0</v>
      </c>
      <c r="L149" s="42"/>
      <c r="M149" s="42"/>
      <c r="N149" s="42"/>
      <c r="O149" s="42"/>
      <c r="P149" s="42"/>
      <c r="Q149" s="99">
        <f t="shared" si="28"/>
        <v>0</v>
      </c>
    </row>
    <row r="150" spans="1:17" ht="15.75">
      <c r="A150" s="53" t="s">
        <v>385</v>
      </c>
      <c r="B150" s="106">
        <v>4081</v>
      </c>
      <c r="C150" s="106">
        <v>110502</v>
      </c>
      <c r="D150" s="110" t="s">
        <v>87</v>
      </c>
      <c r="E150" s="69" t="s">
        <v>656</v>
      </c>
      <c r="F150" s="101">
        <f>G150+J150</f>
        <v>805623</v>
      </c>
      <c r="G150" s="42">
        <f>795836+8950+837</f>
        <v>805623</v>
      </c>
      <c r="H150" s="42">
        <v>583652</v>
      </c>
      <c r="I150" s="42">
        <v>38472</v>
      </c>
      <c r="J150" s="42"/>
      <c r="K150" s="99">
        <f t="shared" si="27"/>
        <v>47572</v>
      </c>
      <c r="L150" s="42"/>
      <c r="M150" s="42"/>
      <c r="N150" s="42"/>
      <c r="O150" s="42">
        <f>47572</f>
        <v>47572</v>
      </c>
      <c r="P150" s="42">
        <f>47572</f>
        <v>47572</v>
      </c>
      <c r="Q150" s="99">
        <f t="shared" si="28"/>
        <v>853195</v>
      </c>
    </row>
    <row r="151" spans="1:17" ht="15.75">
      <c r="A151" s="53" t="s">
        <v>386</v>
      </c>
      <c r="B151" s="106">
        <v>4082</v>
      </c>
      <c r="C151" s="106">
        <v>110103</v>
      </c>
      <c r="D151" s="110" t="s">
        <v>87</v>
      </c>
      <c r="E151" s="111" t="s">
        <v>388</v>
      </c>
      <c r="F151" s="101">
        <f t="shared" si="26"/>
        <v>1000000</v>
      </c>
      <c r="G151" s="42">
        <f>1000000</f>
        <v>1000000</v>
      </c>
      <c r="H151" s="42"/>
      <c r="I151" s="42"/>
      <c r="J151" s="42"/>
      <c r="K151" s="99">
        <f t="shared" si="27"/>
        <v>0</v>
      </c>
      <c r="L151" s="42"/>
      <c r="M151" s="42"/>
      <c r="N151" s="42"/>
      <c r="O151" s="43"/>
      <c r="P151" s="43"/>
      <c r="Q151" s="99">
        <f t="shared" si="28"/>
        <v>1000000</v>
      </c>
    </row>
    <row r="152" spans="1:17" ht="15.75">
      <c r="A152" s="53" t="s">
        <v>456</v>
      </c>
      <c r="B152" s="58">
        <v>7320</v>
      </c>
      <c r="C152" s="106"/>
      <c r="D152" s="110"/>
      <c r="E152" s="51" t="s">
        <v>442</v>
      </c>
      <c r="F152" s="101">
        <f t="shared" si="26"/>
        <v>0</v>
      </c>
      <c r="G152" s="42"/>
      <c r="H152" s="42"/>
      <c r="I152" s="42"/>
      <c r="J152" s="42"/>
      <c r="K152" s="99">
        <f t="shared" si="27"/>
        <v>0</v>
      </c>
      <c r="L152" s="42"/>
      <c r="M152" s="42"/>
      <c r="N152" s="42"/>
      <c r="O152" s="43"/>
      <c r="P152" s="43"/>
      <c r="Q152" s="99">
        <f t="shared" si="28"/>
        <v>0</v>
      </c>
    </row>
    <row r="153" spans="1:17" ht="15.75">
      <c r="A153" s="53" t="s">
        <v>469</v>
      </c>
      <c r="B153" s="58">
        <v>7321</v>
      </c>
      <c r="C153" s="106"/>
      <c r="D153" s="110" t="s">
        <v>409</v>
      </c>
      <c r="E153" s="52" t="s">
        <v>443</v>
      </c>
      <c r="F153" s="101">
        <f t="shared" si="26"/>
        <v>0</v>
      </c>
      <c r="G153" s="42"/>
      <c r="H153" s="42"/>
      <c r="I153" s="42"/>
      <c r="J153" s="42"/>
      <c r="K153" s="99">
        <f t="shared" si="27"/>
        <v>250000</v>
      </c>
      <c r="L153" s="42"/>
      <c r="M153" s="42"/>
      <c r="N153" s="42"/>
      <c r="O153" s="43">
        <v>250000</v>
      </c>
      <c r="P153" s="43">
        <v>250000</v>
      </c>
      <c r="Q153" s="99">
        <f t="shared" si="28"/>
        <v>250000</v>
      </c>
    </row>
    <row r="154" spans="1:17" ht="15.75">
      <c r="A154" s="53" t="s">
        <v>457</v>
      </c>
      <c r="B154" s="106">
        <v>7324</v>
      </c>
      <c r="C154" s="106"/>
      <c r="D154" s="110" t="s">
        <v>409</v>
      </c>
      <c r="E154" s="159" t="s">
        <v>458</v>
      </c>
      <c r="F154" s="101">
        <f t="shared" si="26"/>
        <v>0</v>
      </c>
      <c r="G154" s="42"/>
      <c r="H154" s="42"/>
      <c r="I154" s="42"/>
      <c r="J154" s="42"/>
      <c r="K154" s="99">
        <f t="shared" si="27"/>
        <v>673257</v>
      </c>
      <c r="L154" s="42"/>
      <c r="M154" s="42"/>
      <c r="N154" s="42"/>
      <c r="O154" s="43">
        <f>714277-41020</f>
        <v>673257</v>
      </c>
      <c r="P154" s="43">
        <f>714277-41020</f>
        <v>673257</v>
      </c>
      <c r="Q154" s="99">
        <f t="shared" si="28"/>
        <v>673257</v>
      </c>
    </row>
    <row r="155" spans="1:17" ht="15.75" hidden="1">
      <c r="A155" s="53" t="s">
        <v>472</v>
      </c>
      <c r="B155" s="58">
        <v>7360</v>
      </c>
      <c r="C155" s="58"/>
      <c r="D155" s="105"/>
      <c r="E155" s="51" t="s">
        <v>454</v>
      </c>
      <c r="F155" s="101">
        <f t="shared" si="26"/>
        <v>0</v>
      </c>
      <c r="G155" s="42"/>
      <c r="H155" s="42"/>
      <c r="I155" s="42"/>
      <c r="J155" s="42"/>
      <c r="K155" s="99">
        <f t="shared" si="27"/>
        <v>0</v>
      </c>
      <c r="L155" s="42"/>
      <c r="M155" s="42"/>
      <c r="N155" s="42"/>
      <c r="O155" s="43"/>
      <c r="P155" s="43"/>
      <c r="Q155" s="99">
        <f t="shared" si="28"/>
        <v>0</v>
      </c>
    </row>
    <row r="156" spans="1:17" ht="30" hidden="1">
      <c r="A156" s="53" t="s">
        <v>473</v>
      </c>
      <c r="B156" s="106">
        <v>7361</v>
      </c>
      <c r="C156" s="58"/>
      <c r="D156" s="105" t="s">
        <v>42</v>
      </c>
      <c r="E156" s="52" t="s">
        <v>455</v>
      </c>
      <c r="F156" s="101">
        <f t="shared" si="26"/>
        <v>0</v>
      </c>
      <c r="G156" s="42"/>
      <c r="H156" s="42"/>
      <c r="I156" s="42"/>
      <c r="J156" s="42"/>
      <c r="K156" s="99">
        <f t="shared" si="27"/>
        <v>0</v>
      </c>
      <c r="L156" s="42"/>
      <c r="M156" s="42"/>
      <c r="N156" s="42"/>
      <c r="O156" s="43">
        <f>1571649-1571649</f>
        <v>0</v>
      </c>
      <c r="P156" s="43">
        <f>1571649-1571649</f>
        <v>0</v>
      </c>
      <c r="Q156" s="99">
        <f t="shared" si="28"/>
        <v>0</v>
      </c>
    </row>
    <row r="157" spans="1:17" ht="29.25">
      <c r="A157" s="267">
        <v>2400000</v>
      </c>
      <c r="B157" s="58"/>
      <c r="C157" s="58"/>
      <c r="D157" s="44"/>
      <c r="E157" s="271" t="s">
        <v>179</v>
      </c>
      <c r="F157" s="99">
        <f>F158</f>
        <v>1153927</v>
      </c>
      <c r="G157" s="99">
        <f aca="true" t="shared" si="29" ref="G157:Q157">G158</f>
        <v>1153927</v>
      </c>
      <c r="H157" s="99">
        <f t="shared" si="29"/>
        <v>832050</v>
      </c>
      <c r="I157" s="99">
        <f t="shared" si="29"/>
        <v>24798</v>
      </c>
      <c r="J157" s="99">
        <f t="shared" si="29"/>
        <v>0</v>
      </c>
      <c r="K157" s="99">
        <f t="shared" si="29"/>
        <v>0</v>
      </c>
      <c r="L157" s="99">
        <f t="shared" si="29"/>
        <v>0</v>
      </c>
      <c r="M157" s="99">
        <f t="shared" si="29"/>
        <v>0</v>
      </c>
      <c r="N157" s="99">
        <f t="shared" si="29"/>
        <v>0</v>
      </c>
      <c r="O157" s="99">
        <f t="shared" si="29"/>
        <v>0</v>
      </c>
      <c r="P157" s="99">
        <f t="shared" si="29"/>
        <v>0</v>
      </c>
      <c r="Q157" s="99">
        <f t="shared" si="29"/>
        <v>1153927</v>
      </c>
    </row>
    <row r="158" spans="1:17" ht="29.25">
      <c r="A158" s="268">
        <v>2410000</v>
      </c>
      <c r="B158" s="269"/>
      <c r="C158" s="270"/>
      <c r="D158" s="44"/>
      <c r="E158" s="264" t="s">
        <v>180</v>
      </c>
      <c r="F158" s="99">
        <f aca="true" t="shared" si="30" ref="F158:Q158">SUM(F159:F159)</f>
        <v>1153927</v>
      </c>
      <c r="G158" s="99">
        <f t="shared" si="30"/>
        <v>1153927</v>
      </c>
      <c r="H158" s="99">
        <f t="shared" si="30"/>
        <v>832050</v>
      </c>
      <c r="I158" s="99">
        <f t="shared" si="30"/>
        <v>24798</v>
      </c>
      <c r="J158" s="99">
        <f t="shared" si="30"/>
        <v>0</v>
      </c>
      <c r="K158" s="99">
        <f t="shared" si="30"/>
        <v>0</v>
      </c>
      <c r="L158" s="99">
        <f t="shared" si="30"/>
        <v>0</v>
      </c>
      <c r="M158" s="99">
        <f t="shared" si="30"/>
        <v>0</v>
      </c>
      <c r="N158" s="99">
        <f t="shared" si="30"/>
        <v>0</v>
      </c>
      <c r="O158" s="99">
        <f t="shared" si="30"/>
        <v>0</v>
      </c>
      <c r="P158" s="99">
        <f t="shared" si="30"/>
        <v>0</v>
      </c>
      <c r="Q158" s="99">
        <f t="shared" si="30"/>
        <v>1153927</v>
      </c>
    </row>
    <row r="159" spans="1:17" ht="30">
      <c r="A159" s="53">
        <v>2410160</v>
      </c>
      <c r="B159" s="54" t="s">
        <v>186</v>
      </c>
      <c r="C159" s="54" t="s">
        <v>36</v>
      </c>
      <c r="D159" s="44" t="s">
        <v>28</v>
      </c>
      <c r="E159" s="59" t="s">
        <v>185</v>
      </c>
      <c r="F159" s="99">
        <f>G159+J159</f>
        <v>1153927</v>
      </c>
      <c r="G159" s="42">
        <f>1323767-169840</f>
        <v>1153927</v>
      </c>
      <c r="H159" s="42">
        <f>976955-144905</f>
        <v>832050</v>
      </c>
      <c r="I159" s="42">
        <v>24798</v>
      </c>
      <c r="J159" s="42"/>
      <c r="K159" s="99">
        <f>L159+O159</f>
        <v>0</v>
      </c>
      <c r="L159" s="42"/>
      <c r="M159" s="42"/>
      <c r="N159" s="42"/>
      <c r="O159" s="42"/>
      <c r="P159" s="42"/>
      <c r="Q159" s="99">
        <f>F159+K159</f>
        <v>1153927</v>
      </c>
    </row>
    <row r="160" spans="1:17" ht="30">
      <c r="A160" s="268">
        <v>3700000</v>
      </c>
      <c r="B160" s="269"/>
      <c r="C160" s="270"/>
      <c r="D160" s="44"/>
      <c r="E160" s="264" t="s">
        <v>181</v>
      </c>
      <c r="F160" s="99">
        <f>F161</f>
        <v>24068502</v>
      </c>
      <c r="G160" s="99">
        <f aca="true" t="shared" si="31" ref="G160:Q160">G161</f>
        <v>24068502</v>
      </c>
      <c r="H160" s="99">
        <f t="shared" si="31"/>
        <v>2502848</v>
      </c>
      <c r="I160" s="99">
        <f t="shared" si="31"/>
        <v>48522</v>
      </c>
      <c r="J160" s="99">
        <f t="shared" si="31"/>
        <v>0</v>
      </c>
      <c r="K160" s="99">
        <f t="shared" si="31"/>
        <v>3182584</v>
      </c>
      <c r="L160" s="99">
        <f t="shared" si="31"/>
        <v>0</v>
      </c>
      <c r="M160" s="99">
        <f t="shared" si="31"/>
        <v>0</v>
      </c>
      <c r="N160" s="99">
        <f t="shared" si="31"/>
        <v>0</v>
      </c>
      <c r="O160" s="99">
        <f t="shared" si="31"/>
        <v>3182584</v>
      </c>
      <c r="P160" s="99">
        <f t="shared" si="31"/>
        <v>3182584</v>
      </c>
      <c r="Q160" s="99">
        <f t="shared" si="31"/>
        <v>27251086</v>
      </c>
    </row>
    <row r="161" spans="1:17" ht="30">
      <c r="A161" s="268">
        <v>3710000</v>
      </c>
      <c r="B161" s="269"/>
      <c r="C161" s="270"/>
      <c r="D161" s="44"/>
      <c r="E161" s="264" t="s">
        <v>182</v>
      </c>
      <c r="F161" s="99">
        <f>SUM(F162:F166)</f>
        <v>24068502</v>
      </c>
      <c r="G161" s="99">
        <f>SUM(G162:G166)</f>
        <v>24068502</v>
      </c>
      <c r="H161" s="99">
        <f aca="true" t="shared" si="32" ref="H161:Q161">SUM(H162:H166)</f>
        <v>2502848</v>
      </c>
      <c r="I161" s="99">
        <f t="shared" si="32"/>
        <v>48522</v>
      </c>
      <c r="J161" s="99">
        <f t="shared" si="32"/>
        <v>0</v>
      </c>
      <c r="K161" s="99">
        <f t="shared" si="32"/>
        <v>3182584</v>
      </c>
      <c r="L161" s="99">
        <f t="shared" si="32"/>
        <v>0</v>
      </c>
      <c r="M161" s="99">
        <f t="shared" si="32"/>
        <v>0</v>
      </c>
      <c r="N161" s="99">
        <f t="shared" si="32"/>
        <v>0</v>
      </c>
      <c r="O161" s="99">
        <f t="shared" si="32"/>
        <v>3182584</v>
      </c>
      <c r="P161" s="99">
        <f t="shared" si="32"/>
        <v>3182584</v>
      </c>
      <c r="Q161" s="99">
        <f t="shared" si="32"/>
        <v>27251086</v>
      </c>
    </row>
    <row r="162" spans="1:17" ht="45" customHeight="1">
      <c r="A162" s="53">
        <v>3710160</v>
      </c>
      <c r="B162" s="54" t="s">
        <v>186</v>
      </c>
      <c r="C162" s="54" t="s">
        <v>36</v>
      </c>
      <c r="D162" s="44" t="s">
        <v>28</v>
      </c>
      <c r="E162" s="59" t="s">
        <v>185</v>
      </c>
      <c r="F162" s="99">
        <f>G162+J162</f>
        <v>3309402</v>
      </c>
      <c r="G162" s="42">
        <f>2824642+484760</f>
        <v>3309402</v>
      </c>
      <c r="H162" s="42">
        <f>2106231+396617</f>
        <v>2502848</v>
      </c>
      <c r="I162" s="42">
        <v>48522</v>
      </c>
      <c r="J162" s="42"/>
      <c r="K162" s="99">
        <f>L162+O162</f>
        <v>0</v>
      </c>
      <c r="L162" s="42"/>
      <c r="M162" s="42"/>
      <c r="N162" s="42"/>
      <c r="O162" s="42"/>
      <c r="P162" s="42"/>
      <c r="Q162" s="99">
        <f>F162+K162</f>
        <v>3309402</v>
      </c>
    </row>
    <row r="163" spans="1:17" ht="15.75">
      <c r="A163" s="53">
        <v>3718700</v>
      </c>
      <c r="B163" s="58">
        <v>8700</v>
      </c>
      <c r="C163" s="54">
        <v>250102</v>
      </c>
      <c r="D163" s="44" t="s">
        <v>55</v>
      </c>
      <c r="E163" s="68" t="s">
        <v>47</v>
      </c>
      <c r="F163" s="99">
        <f>G163+J163</f>
        <v>100000</v>
      </c>
      <c r="G163" s="42">
        <v>100000</v>
      </c>
      <c r="H163" s="42"/>
      <c r="I163" s="42"/>
      <c r="J163" s="42"/>
      <c r="K163" s="99">
        <f>L163+O163</f>
        <v>0</v>
      </c>
      <c r="L163" s="42"/>
      <c r="M163" s="42"/>
      <c r="N163" s="42"/>
      <c r="O163" s="42"/>
      <c r="P163" s="42"/>
      <c r="Q163" s="99">
        <f>F163+K163</f>
        <v>100000</v>
      </c>
    </row>
    <row r="164" spans="1:17" ht="15.75">
      <c r="A164" s="53">
        <v>3719110</v>
      </c>
      <c r="B164" s="58">
        <v>9110</v>
      </c>
      <c r="C164" s="54" t="s">
        <v>162</v>
      </c>
      <c r="D164" s="44" t="s">
        <v>90</v>
      </c>
      <c r="E164" s="51" t="s">
        <v>163</v>
      </c>
      <c r="F164" s="99">
        <f>G164+J164</f>
        <v>18418800</v>
      </c>
      <c r="G164" s="42">
        <v>18418800</v>
      </c>
      <c r="H164" s="42"/>
      <c r="I164" s="42"/>
      <c r="J164" s="42"/>
      <c r="K164" s="99">
        <f>L164+O164</f>
        <v>0</v>
      </c>
      <c r="L164" s="42"/>
      <c r="M164" s="42"/>
      <c r="N164" s="42"/>
      <c r="O164" s="42"/>
      <c r="P164" s="42"/>
      <c r="Q164" s="99">
        <f>F164+K164</f>
        <v>18418800</v>
      </c>
    </row>
    <row r="165" spans="1:17" ht="15.75">
      <c r="A165" s="53">
        <v>3719770</v>
      </c>
      <c r="B165" s="58">
        <v>9770</v>
      </c>
      <c r="C165" s="58">
        <v>250380</v>
      </c>
      <c r="D165" s="44" t="s">
        <v>90</v>
      </c>
      <c r="E165" s="51" t="s">
        <v>187</v>
      </c>
      <c r="F165" s="99">
        <f>G165+J165</f>
        <v>1575300</v>
      </c>
      <c r="G165" s="42">
        <f>870000+2000000-1300000+5300</f>
        <v>1575300</v>
      </c>
      <c r="H165" s="42"/>
      <c r="I165" s="42"/>
      <c r="J165" s="42"/>
      <c r="K165" s="99">
        <f>L165+O165</f>
        <v>2641584</v>
      </c>
      <c r="L165" s="42"/>
      <c r="M165" s="42"/>
      <c r="N165" s="42"/>
      <c r="O165" s="42">
        <f>2582522+59062</f>
        <v>2641584</v>
      </c>
      <c r="P165" s="42">
        <f>2582522+59062</f>
        <v>2641584</v>
      </c>
      <c r="Q165" s="99">
        <f>F165+K165</f>
        <v>4216884</v>
      </c>
    </row>
    <row r="166" spans="1:17" ht="30">
      <c r="A166" s="53" t="s">
        <v>594</v>
      </c>
      <c r="B166" s="58">
        <v>9800</v>
      </c>
      <c r="C166" s="58"/>
      <c r="D166" s="44" t="s">
        <v>90</v>
      </c>
      <c r="E166" s="51" t="s">
        <v>542</v>
      </c>
      <c r="F166" s="99">
        <f>G166+J166</f>
        <v>665000</v>
      </c>
      <c r="G166" s="42">
        <f>615000+50000</f>
        <v>665000</v>
      </c>
      <c r="H166" s="42"/>
      <c r="I166" s="42"/>
      <c r="J166" s="42"/>
      <c r="K166" s="99">
        <f>L166+O166</f>
        <v>541000</v>
      </c>
      <c r="L166" s="42"/>
      <c r="M166" s="42"/>
      <c r="N166" s="42"/>
      <c r="O166" s="42">
        <f>235000+130000+176000</f>
        <v>541000</v>
      </c>
      <c r="P166" s="42">
        <f>235000+130000+176000</f>
        <v>541000</v>
      </c>
      <c r="Q166" s="99">
        <f>F166+K166</f>
        <v>1206000</v>
      </c>
    </row>
    <row r="167" spans="1:17" ht="15.75">
      <c r="A167" s="44"/>
      <c r="B167" s="266"/>
      <c r="C167" s="266"/>
      <c r="D167" s="44"/>
      <c r="E167" s="260" t="s">
        <v>38</v>
      </c>
      <c r="F167" s="272">
        <f aca="true" t="shared" si="33" ref="F167:Q167">F8+F58+F89+F136+F143+F158+F161</f>
        <v>578250205</v>
      </c>
      <c r="G167" s="272">
        <f t="shared" si="33"/>
        <v>577249613</v>
      </c>
      <c r="H167" s="272">
        <f t="shared" si="33"/>
        <v>165069452</v>
      </c>
      <c r="I167" s="272">
        <f t="shared" si="33"/>
        <v>23189362</v>
      </c>
      <c r="J167" s="272">
        <f t="shared" si="33"/>
        <v>1000592</v>
      </c>
      <c r="K167" s="272">
        <f t="shared" si="33"/>
        <v>107167624</v>
      </c>
      <c r="L167" s="272">
        <f t="shared" si="33"/>
        <v>7928187</v>
      </c>
      <c r="M167" s="272">
        <f t="shared" si="33"/>
        <v>95900</v>
      </c>
      <c r="N167" s="272">
        <f t="shared" si="33"/>
        <v>35159</v>
      </c>
      <c r="O167" s="272">
        <f t="shared" si="33"/>
        <v>99239437</v>
      </c>
      <c r="P167" s="272">
        <f t="shared" si="33"/>
        <v>85558590</v>
      </c>
      <c r="Q167" s="272">
        <f t="shared" si="33"/>
        <v>685417829</v>
      </c>
    </row>
    <row r="168" spans="1:17" ht="15.75">
      <c r="A168" s="273"/>
      <c r="B168" s="274"/>
      <c r="C168" s="274"/>
      <c r="D168" s="273"/>
      <c r="E168" s="275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</row>
    <row r="169" spans="1:17" ht="15.75">
      <c r="A169" s="365" t="s">
        <v>345</v>
      </c>
      <c r="B169" s="365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</row>
    <row r="170" spans="1:17" ht="15.75">
      <c r="A170" s="277"/>
      <c r="B170" s="278"/>
      <c r="C170" s="278"/>
      <c r="D170" s="278"/>
      <c r="E170" s="278"/>
      <c r="F170" s="279"/>
      <c r="G170" s="278"/>
      <c r="H170" s="278"/>
      <c r="I170" s="278"/>
      <c r="J170" s="278"/>
      <c r="K170" s="279"/>
      <c r="L170" s="278"/>
      <c r="M170" s="278"/>
      <c r="N170" s="278"/>
      <c r="O170" s="278"/>
      <c r="P170" s="278"/>
      <c r="Q170" s="279"/>
    </row>
    <row r="171" spans="1:17" s="128" customFormat="1" ht="15.75">
      <c r="A171" s="280" t="s">
        <v>155</v>
      </c>
      <c r="B171" s="245"/>
      <c r="C171" s="245"/>
      <c r="D171" s="245"/>
      <c r="E171" s="245"/>
      <c r="F171" s="246"/>
      <c r="G171" s="246"/>
      <c r="H171" s="246"/>
      <c r="I171" s="246"/>
      <c r="J171" s="246"/>
      <c r="L171" s="246"/>
      <c r="M171" s="246"/>
      <c r="N171" s="245" t="s">
        <v>156</v>
      </c>
      <c r="O171" s="246"/>
      <c r="P171" s="246"/>
      <c r="Q171" s="246"/>
    </row>
    <row r="172" spans="1:11" ht="15.75">
      <c r="A172" s="281"/>
      <c r="B172" s="282"/>
      <c r="C172" s="282"/>
      <c r="D172" s="282"/>
      <c r="E172" s="282"/>
      <c r="K172" s="245"/>
    </row>
    <row r="173" spans="1:17" s="129" customFormat="1" ht="16.5">
      <c r="A173" s="284" t="s">
        <v>45</v>
      </c>
      <c r="C173" s="285"/>
      <c r="D173" s="285"/>
      <c r="E173" s="286"/>
      <c r="F173" s="287"/>
      <c r="G173" s="285"/>
      <c r="H173" s="285"/>
      <c r="I173" s="285"/>
      <c r="J173" s="285"/>
      <c r="K173" s="247"/>
      <c r="L173" s="285"/>
      <c r="M173" s="285"/>
      <c r="N173" s="247" t="s">
        <v>157</v>
      </c>
      <c r="O173" s="285"/>
      <c r="P173" s="285"/>
      <c r="Q173" s="287"/>
    </row>
    <row r="174" spans="1:17" s="129" customFormat="1" ht="16.5" hidden="1">
      <c r="A174" s="284"/>
      <c r="C174" s="285"/>
      <c r="D174" s="285"/>
      <c r="E174" s="286"/>
      <c r="F174" s="287"/>
      <c r="G174" s="285"/>
      <c r="H174" s="285"/>
      <c r="I174" s="285"/>
      <c r="J174" s="285"/>
      <c r="K174" s="247"/>
      <c r="L174" s="285"/>
      <c r="M174" s="285"/>
      <c r="N174" s="285"/>
      <c r="O174" s="285"/>
      <c r="P174" s="285"/>
      <c r="Q174" s="287"/>
    </row>
    <row r="175" ht="12.75" hidden="1"/>
    <row r="176" spans="7:17" ht="12.75" hidden="1">
      <c r="G176" s="289">
        <f aca="true" t="shared" si="34" ref="G176:Q176">G162+G159+G144+G137+G90+G59+G9</f>
        <v>53684674</v>
      </c>
      <c r="H176" s="289">
        <f t="shared" si="34"/>
        <v>39421503</v>
      </c>
      <c r="I176" s="289">
        <f t="shared" si="34"/>
        <v>1623575</v>
      </c>
      <c r="J176" s="289">
        <f t="shared" si="34"/>
        <v>0</v>
      </c>
      <c r="K176" s="289">
        <f t="shared" si="34"/>
        <v>3570948</v>
      </c>
      <c r="L176" s="289">
        <f t="shared" si="34"/>
        <v>110000</v>
      </c>
      <c r="M176" s="289">
        <f t="shared" si="34"/>
        <v>0</v>
      </c>
      <c r="N176" s="289">
        <f t="shared" si="34"/>
        <v>0</v>
      </c>
      <c r="O176" s="289">
        <f t="shared" si="34"/>
        <v>3460948</v>
      </c>
      <c r="P176" s="289">
        <f t="shared" si="34"/>
        <v>3460948</v>
      </c>
      <c r="Q176" s="289">
        <f t="shared" si="34"/>
        <v>57255622</v>
      </c>
    </row>
    <row r="177" spans="7:16" ht="12.75" hidden="1">
      <c r="G177" s="289">
        <f>F58-F59-F69-F71-F72-F74-F77+F145+F10</f>
        <v>171128429</v>
      </c>
      <c r="K177" s="290"/>
      <c r="P177" s="291"/>
    </row>
    <row r="178" ht="12.75" hidden="1">
      <c r="G178" s="289">
        <f>G17+G19+G69+G71+G72+G88-G90+G139</f>
        <v>235165194</v>
      </c>
    </row>
    <row r="179" ht="12.75" hidden="1">
      <c r="G179" s="289">
        <f>G142-G144-G145+G21</f>
        <v>10751233</v>
      </c>
    </row>
    <row r="180" ht="12.75" hidden="1"/>
  </sheetData>
  <sheetProtection/>
  <mergeCells count="24">
    <mergeCell ref="G4:G6"/>
    <mergeCell ref="A3:A6"/>
    <mergeCell ref="L4:L6"/>
    <mergeCell ref="N5:N6"/>
    <mergeCell ref="C3:C6"/>
    <mergeCell ref="E3:E6"/>
    <mergeCell ref="F4:F6"/>
    <mergeCell ref="B3:B6"/>
    <mergeCell ref="O4:O6"/>
    <mergeCell ref="H5:H6"/>
    <mergeCell ref="I5:I6"/>
    <mergeCell ref="K3:P3"/>
    <mergeCell ref="K4:K6"/>
    <mergeCell ref="P5:P6"/>
    <mergeCell ref="A169:Q169"/>
    <mergeCell ref="P1:Q1"/>
    <mergeCell ref="M4:N4"/>
    <mergeCell ref="F3:J3"/>
    <mergeCell ref="J4:J6"/>
    <mergeCell ref="M5:M6"/>
    <mergeCell ref="D3:D6"/>
    <mergeCell ref="A2:Q2"/>
    <mergeCell ref="H4:I4"/>
    <mergeCell ref="Q3:Q6"/>
  </mergeCells>
  <printOptions horizontalCentered="1"/>
  <pageMargins left="0.3937007874015748" right="0.3937007874015748" top="1.1811023622047245" bottom="0.3937007874015748" header="0.5118110236220472" footer="0.31496062992125984"/>
  <pageSetup fitToHeight="5" fitToWidth="1" horizontalDpi="300" verticalDpi="300" orientation="landscape" paperSize="9" scale="50" r:id="rId1"/>
  <headerFooter alignWithMargins="0">
    <oddFooter>&amp;R&amp;P</oddFooter>
  </headerFooter>
  <rowBreaks count="1" manualBreakCount="1">
    <brk id="17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1"/>
  <sheetViews>
    <sheetView view="pageBreakPreview" zoomScaleSheetLayoutView="100" workbookViewId="0" topLeftCell="A113">
      <selection activeCell="D122" sqref="D122"/>
    </sheetView>
  </sheetViews>
  <sheetFormatPr defaultColWidth="9.16015625" defaultRowHeight="12.75"/>
  <cols>
    <col min="1" max="1" width="18" style="292" customWidth="1"/>
    <col min="2" max="2" width="16.5" style="293" customWidth="1"/>
    <col min="3" max="3" width="15.5" style="293" hidden="1" customWidth="1"/>
    <col min="4" max="4" width="14.66015625" style="293" customWidth="1"/>
    <col min="5" max="5" width="57.16015625" style="293" customWidth="1"/>
    <col min="6" max="6" width="50.33203125" style="293" customWidth="1"/>
    <col min="7" max="7" width="15.83203125" style="293" customWidth="1"/>
    <col min="8" max="8" width="17.83203125" style="293" customWidth="1"/>
    <col min="9" max="9" width="17" style="293" customWidth="1"/>
    <col min="10" max="10" width="4.33203125" style="123" customWidth="1"/>
    <col min="11" max="16384" width="9.16015625" style="123" customWidth="1"/>
  </cols>
  <sheetData>
    <row r="1" spans="7:9" ht="78" customHeight="1">
      <c r="G1" s="294"/>
      <c r="H1" s="384" t="s">
        <v>168</v>
      </c>
      <c r="I1" s="384"/>
    </row>
    <row r="2" spans="1:9" ht="35.25" customHeight="1">
      <c r="A2" s="383" t="s">
        <v>167</v>
      </c>
      <c r="B2" s="383"/>
      <c r="C2" s="383"/>
      <c r="D2" s="383"/>
      <c r="E2" s="383"/>
      <c r="F2" s="383"/>
      <c r="G2" s="383"/>
      <c r="H2" s="383"/>
      <c r="I2" s="383"/>
    </row>
    <row r="3" spans="1:9" ht="15.75">
      <c r="A3" s="295"/>
      <c r="B3" s="296"/>
      <c r="C3" s="297"/>
      <c r="D3" s="297"/>
      <c r="E3" s="297"/>
      <c r="F3" s="298"/>
      <c r="G3" s="298"/>
      <c r="H3" s="299"/>
      <c r="I3" s="300" t="s">
        <v>61</v>
      </c>
    </row>
    <row r="4" spans="1:9" ht="111" customHeight="1">
      <c r="A4" s="301" t="s">
        <v>102</v>
      </c>
      <c r="B4" s="302" t="s">
        <v>120</v>
      </c>
      <c r="C4" s="302" t="s">
        <v>44</v>
      </c>
      <c r="D4" s="303" t="s">
        <v>121</v>
      </c>
      <c r="E4" s="304" t="s">
        <v>118</v>
      </c>
      <c r="F4" s="141" t="s">
        <v>39</v>
      </c>
      <c r="G4" s="303" t="s">
        <v>19</v>
      </c>
      <c r="H4" s="141" t="s">
        <v>20</v>
      </c>
      <c r="I4" s="141" t="s">
        <v>40</v>
      </c>
    </row>
    <row r="5" spans="1:9" ht="29.25">
      <c r="A5" s="305" t="s">
        <v>188</v>
      </c>
      <c r="B5" s="306"/>
      <c r="C5" s="307"/>
      <c r="D5" s="308"/>
      <c r="E5" s="309" t="s">
        <v>170</v>
      </c>
      <c r="F5" s="141"/>
      <c r="G5" s="310">
        <f>G6</f>
        <v>23591692</v>
      </c>
      <c r="H5" s="310">
        <f>H6</f>
        <v>50806455</v>
      </c>
      <c r="I5" s="310">
        <f>I6</f>
        <v>74398147</v>
      </c>
    </row>
    <row r="6" spans="1:9" ht="29.25">
      <c r="A6" s="305" t="s">
        <v>189</v>
      </c>
      <c r="B6" s="311"/>
      <c r="C6" s="305"/>
      <c r="D6" s="305"/>
      <c r="E6" s="309" t="s">
        <v>171</v>
      </c>
      <c r="F6" s="137"/>
      <c r="G6" s="312">
        <f>SUM(G7:G54)</f>
        <v>23591692</v>
      </c>
      <c r="H6" s="312">
        <f>SUM(H7:H54)</f>
        <v>50806455</v>
      </c>
      <c r="I6" s="312">
        <f>SUM(I7:I54)</f>
        <v>74398147</v>
      </c>
    </row>
    <row r="7" spans="1:9" ht="63">
      <c r="A7" s="53" t="s">
        <v>200</v>
      </c>
      <c r="B7" s="54" t="s">
        <v>201</v>
      </c>
      <c r="C7" s="58">
        <v>10116</v>
      </c>
      <c r="D7" s="44" t="s">
        <v>28</v>
      </c>
      <c r="E7" s="51" t="s">
        <v>160</v>
      </c>
      <c r="F7" s="160" t="s">
        <v>478</v>
      </c>
      <c r="G7" s="166"/>
      <c r="H7" s="165">
        <f>55000+1997585-195740+341000+9000</f>
        <v>2206845</v>
      </c>
      <c r="I7" s="165">
        <f>G7+H7</f>
        <v>2206845</v>
      </c>
    </row>
    <row r="8" spans="1:9" ht="78.75">
      <c r="A8" s="53" t="s">
        <v>200</v>
      </c>
      <c r="B8" s="54" t="s">
        <v>201</v>
      </c>
      <c r="C8" s="58">
        <v>10116</v>
      </c>
      <c r="D8" s="44" t="s">
        <v>28</v>
      </c>
      <c r="E8" s="51" t="s">
        <v>160</v>
      </c>
      <c r="F8" s="117" t="s">
        <v>616</v>
      </c>
      <c r="G8" s="166"/>
      <c r="H8" s="165">
        <f>1051003+56000</f>
        <v>1107003</v>
      </c>
      <c r="I8" s="165">
        <f>G8+H8</f>
        <v>1107003</v>
      </c>
    </row>
    <row r="9" spans="1:9" ht="63">
      <c r="A9" s="53" t="s">
        <v>202</v>
      </c>
      <c r="B9" s="54" t="s">
        <v>124</v>
      </c>
      <c r="C9" s="54" t="s">
        <v>57</v>
      </c>
      <c r="D9" s="44" t="s">
        <v>49</v>
      </c>
      <c r="E9" s="68" t="s">
        <v>125</v>
      </c>
      <c r="F9" s="117" t="s">
        <v>617</v>
      </c>
      <c r="G9" s="166"/>
      <c r="H9" s="165">
        <f>2490200+200000-1500000+120695</f>
        <v>1310895</v>
      </c>
      <c r="I9" s="165">
        <f>G9+H9</f>
        <v>1310895</v>
      </c>
    </row>
    <row r="10" spans="1:9" ht="15.75">
      <c r="A10" s="53" t="s">
        <v>203</v>
      </c>
      <c r="B10" s="54" t="s">
        <v>355</v>
      </c>
      <c r="C10" s="54"/>
      <c r="D10" s="44"/>
      <c r="E10" s="68" t="s">
        <v>204</v>
      </c>
      <c r="F10" s="137"/>
      <c r="G10" s="166"/>
      <c r="H10" s="166"/>
      <c r="I10" s="166"/>
    </row>
    <row r="11" spans="1:9" ht="63">
      <c r="A11" s="53" t="s">
        <v>205</v>
      </c>
      <c r="B11" s="102" t="s">
        <v>206</v>
      </c>
      <c r="C11" s="54" t="s">
        <v>58</v>
      </c>
      <c r="D11" s="105" t="s">
        <v>418</v>
      </c>
      <c r="E11" s="69" t="s">
        <v>207</v>
      </c>
      <c r="F11" s="117" t="s">
        <v>617</v>
      </c>
      <c r="G11" s="165"/>
      <c r="H11" s="165">
        <f>3870398+38098-866559-484650-1768608-27864+27864-16940-96768</f>
        <v>674971</v>
      </c>
      <c r="I11" s="165">
        <f>G11+H11</f>
        <v>674971</v>
      </c>
    </row>
    <row r="12" spans="1:9" ht="63">
      <c r="A12" s="53" t="s">
        <v>384</v>
      </c>
      <c r="B12" s="54" t="s">
        <v>377</v>
      </c>
      <c r="C12" s="47" t="s">
        <v>110</v>
      </c>
      <c r="D12" s="46" t="s">
        <v>108</v>
      </c>
      <c r="E12" s="120" t="s">
        <v>109</v>
      </c>
      <c r="F12" s="117" t="s">
        <v>618</v>
      </c>
      <c r="G12" s="165">
        <f>149888+218679</f>
        <v>368567</v>
      </c>
      <c r="H12" s="165"/>
      <c r="I12" s="165">
        <f>G12+H12</f>
        <v>368567</v>
      </c>
    </row>
    <row r="13" spans="1:9" ht="15.75">
      <c r="A13" s="53" t="s">
        <v>382</v>
      </c>
      <c r="B13" s="58">
        <v>3240</v>
      </c>
      <c r="C13" s="54" t="s">
        <v>59</v>
      </c>
      <c r="D13" s="44"/>
      <c r="E13" s="116" t="s">
        <v>208</v>
      </c>
      <c r="F13" s="117"/>
      <c r="G13" s="165"/>
      <c r="H13" s="165"/>
      <c r="I13" s="165"/>
    </row>
    <row r="14" spans="1:9" ht="47.25">
      <c r="A14" s="53" t="s">
        <v>383</v>
      </c>
      <c r="B14" s="106">
        <v>3242</v>
      </c>
      <c r="C14" s="102" t="s">
        <v>59</v>
      </c>
      <c r="D14" s="105" t="s">
        <v>50</v>
      </c>
      <c r="E14" s="118" t="s">
        <v>380</v>
      </c>
      <c r="F14" s="117" t="s">
        <v>150</v>
      </c>
      <c r="G14" s="165">
        <f>7200-2100</f>
        <v>5100</v>
      </c>
      <c r="H14" s="165"/>
      <c r="I14" s="165">
        <f>G14+H14</f>
        <v>5100</v>
      </c>
    </row>
    <row r="15" spans="1:9" ht="30">
      <c r="A15" s="53" t="s">
        <v>350</v>
      </c>
      <c r="B15" s="58">
        <v>4080</v>
      </c>
      <c r="C15" s="57" t="s">
        <v>349</v>
      </c>
      <c r="D15" s="97" t="s">
        <v>87</v>
      </c>
      <c r="E15" s="121" t="s">
        <v>222</v>
      </c>
      <c r="F15" s="117"/>
      <c r="G15" s="165"/>
      <c r="H15" s="165"/>
      <c r="I15" s="165"/>
    </row>
    <row r="16" spans="1:9" ht="47.25">
      <c r="A16" s="53" t="s">
        <v>389</v>
      </c>
      <c r="B16" s="106">
        <v>4082</v>
      </c>
      <c r="C16" s="106">
        <v>110502</v>
      </c>
      <c r="D16" s="110" t="s">
        <v>87</v>
      </c>
      <c r="E16" s="118" t="s">
        <v>388</v>
      </c>
      <c r="F16" s="117" t="s">
        <v>150</v>
      </c>
      <c r="G16" s="165">
        <v>293000</v>
      </c>
      <c r="H16" s="165"/>
      <c r="I16" s="165">
        <f aca="true" t="shared" si="0" ref="I16:I46">G16+H16</f>
        <v>293000</v>
      </c>
    </row>
    <row r="17" spans="1:9" ht="30">
      <c r="A17" s="53" t="s">
        <v>310</v>
      </c>
      <c r="B17" s="54" t="s">
        <v>128</v>
      </c>
      <c r="C17" s="54"/>
      <c r="D17" s="44"/>
      <c r="E17" s="55" t="s">
        <v>311</v>
      </c>
      <c r="F17" s="117"/>
      <c r="G17" s="165"/>
      <c r="H17" s="165"/>
      <c r="I17" s="165">
        <f t="shared" si="0"/>
        <v>0</v>
      </c>
    </row>
    <row r="18" spans="1:9" ht="78.75">
      <c r="A18" s="53" t="s">
        <v>342</v>
      </c>
      <c r="B18" s="102" t="s">
        <v>343</v>
      </c>
      <c r="C18" s="102">
        <v>100102</v>
      </c>
      <c r="D18" s="105" t="s">
        <v>52</v>
      </c>
      <c r="E18" s="167" t="s">
        <v>344</v>
      </c>
      <c r="F18" s="117" t="s">
        <v>619</v>
      </c>
      <c r="G18" s="165">
        <f>49892+902259+10000+58684+286939+20000+34145</f>
        <v>1361919</v>
      </c>
      <c r="H18" s="165">
        <f>2000000+256008+290000+151655</f>
        <v>2697663</v>
      </c>
      <c r="I18" s="165">
        <f t="shared" si="0"/>
        <v>4059582</v>
      </c>
    </row>
    <row r="19" spans="1:9" ht="78.75">
      <c r="A19" s="53" t="s">
        <v>479</v>
      </c>
      <c r="B19" s="102" t="s">
        <v>480</v>
      </c>
      <c r="C19" s="54"/>
      <c r="D19" s="105" t="s">
        <v>52</v>
      </c>
      <c r="E19" s="52" t="s">
        <v>481</v>
      </c>
      <c r="F19" s="117" t="s">
        <v>619</v>
      </c>
      <c r="G19" s="165">
        <f>20031+1426-21457</f>
        <v>0</v>
      </c>
      <c r="H19" s="165">
        <f>1086839-1086839</f>
        <v>0</v>
      </c>
      <c r="I19" s="165">
        <f t="shared" si="0"/>
        <v>0</v>
      </c>
    </row>
    <row r="20" spans="1:9" ht="30">
      <c r="A20" s="53" t="s">
        <v>312</v>
      </c>
      <c r="B20" s="102" t="s">
        <v>313</v>
      </c>
      <c r="C20" s="54" t="s">
        <v>107</v>
      </c>
      <c r="D20" s="105" t="s">
        <v>52</v>
      </c>
      <c r="E20" s="52" t="s">
        <v>314</v>
      </c>
      <c r="F20" s="117"/>
      <c r="G20" s="165">
        <f>199000+250000+208109+53400+150000+295267+50000</f>
        <v>1205776</v>
      </c>
      <c r="H20" s="165">
        <f>2565840-112462-415727-295267-1182062-408757</f>
        <v>151565</v>
      </c>
      <c r="I20" s="165">
        <f t="shared" si="0"/>
        <v>1357341</v>
      </c>
    </row>
    <row r="21" spans="1:9" ht="78.75">
      <c r="A21" s="53" t="s">
        <v>315</v>
      </c>
      <c r="B21" s="54" t="s">
        <v>316</v>
      </c>
      <c r="C21" s="54">
        <v>100203</v>
      </c>
      <c r="D21" s="44" t="s">
        <v>52</v>
      </c>
      <c r="E21" s="59" t="s">
        <v>483</v>
      </c>
      <c r="F21" s="117" t="s">
        <v>619</v>
      </c>
      <c r="G21" s="165">
        <f>10000000-250000-1426-346224+194000+25572+265727+58175+401756+366428+40851+199185-51400</f>
        <v>10902644</v>
      </c>
      <c r="H21" s="165">
        <f>4956198+173875-2828375-58175+141260+101240-192506-499424-20000-34145+51400</f>
        <v>1791348</v>
      </c>
      <c r="I21" s="165">
        <f t="shared" si="0"/>
        <v>12693992</v>
      </c>
    </row>
    <row r="22" spans="1:9" ht="30">
      <c r="A22" s="53" t="s">
        <v>625</v>
      </c>
      <c r="B22" s="54" t="s">
        <v>627</v>
      </c>
      <c r="C22" s="54"/>
      <c r="D22" s="44"/>
      <c r="E22" s="51" t="s">
        <v>630</v>
      </c>
      <c r="F22" s="117"/>
      <c r="G22" s="165"/>
      <c r="H22" s="165"/>
      <c r="I22" s="165"/>
    </row>
    <row r="23" spans="1:9" ht="105">
      <c r="A23" s="53" t="s">
        <v>626</v>
      </c>
      <c r="B23" s="102" t="s">
        <v>628</v>
      </c>
      <c r="C23" s="102"/>
      <c r="D23" s="105" t="s">
        <v>629</v>
      </c>
      <c r="E23" s="52" t="s">
        <v>649</v>
      </c>
      <c r="F23" s="117" t="s">
        <v>619</v>
      </c>
      <c r="G23" s="165">
        <v>1122062</v>
      </c>
      <c r="H23" s="165"/>
      <c r="I23" s="165">
        <f t="shared" si="0"/>
        <v>1122062</v>
      </c>
    </row>
    <row r="24" spans="1:9" ht="30">
      <c r="A24" s="53" t="s">
        <v>531</v>
      </c>
      <c r="B24" s="54" t="s">
        <v>532</v>
      </c>
      <c r="C24" s="54"/>
      <c r="D24" s="44"/>
      <c r="E24" s="51" t="s">
        <v>533</v>
      </c>
      <c r="F24" s="117"/>
      <c r="G24" s="165"/>
      <c r="H24" s="165"/>
      <c r="I24" s="165">
        <f t="shared" si="0"/>
        <v>0</v>
      </c>
    </row>
    <row r="25" spans="1:9" ht="78.75">
      <c r="A25" s="53" t="s">
        <v>534</v>
      </c>
      <c r="B25" s="54" t="s">
        <v>535</v>
      </c>
      <c r="C25" s="54"/>
      <c r="D25" s="44" t="s">
        <v>536</v>
      </c>
      <c r="E25" s="52" t="s">
        <v>537</v>
      </c>
      <c r="F25" s="117" t="s">
        <v>657</v>
      </c>
      <c r="G25" s="165"/>
      <c r="H25" s="165">
        <f>900000+1800000+900000</f>
        <v>3600000</v>
      </c>
      <c r="I25" s="165">
        <f t="shared" si="0"/>
        <v>3600000</v>
      </c>
    </row>
    <row r="26" spans="1:9" ht="63">
      <c r="A26" s="53" t="s">
        <v>401</v>
      </c>
      <c r="B26" s="54" t="s">
        <v>403</v>
      </c>
      <c r="C26" s="54" t="s">
        <v>407</v>
      </c>
      <c r="D26" s="44" t="s">
        <v>406</v>
      </c>
      <c r="E26" s="188" t="s">
        <v>404</v>
      </c>
      <c r="F26" s="117" t="s">
        <v>592</v>
      </c>
      <c r="G26" s="165">
        <f>1206900-300000-259248-341000-40752-75000</f>
        <v>190900</v>
      </c>
      <c r="H26" s="165">
        <f>20000</f>
        <v>20000</v>
      </c>
      <c r="I26" s="165">
        <f t="shared" si="0"/>
        <v>210900</v>
      </c>
    </row>
    <row r="27" spans="1:9" ht="63">
      <c r="A27" s="53" t="s">
        <v>580</v>
      </c>
      <c r="B27" s="54" t="s">
        <v>581</v>
      </c>
      <c r="C27" s="54"/>
      <c r="D27" s="44" t="s">
        <v>409</v>
      </c>
      <c r="E27" s="55" t="s">
        <v>585</v>
      </c>
      <c r="F27" s="160" t="s">
        <v>478</v>
      </c>
      <c r="G27" s="165"/>
      <c r="H27" s="165">
        <v>111200</v>
      </c>
      <c r="I27" s="165">
        <f>G27+H27</f>
        <v>111200</v>
      </c>
    </row>
    <row r="28" spans="1:9" ht="63">
      <c r="A28" s="53" t="s">
        <v>580</v>
      </c>
      <c r="B28" s="54" t="s">
        <v>581</v>
      </c>
      <c r="C28" s="54"/>
      <c r="D28" s="44" t="s">
        <v>409</v>
      </c>
      <c r="E28" s="55" t="s">
        <v>585</v>
      </c>
      <c r="F28" s="117" t="s">
        <v>584</v>
      </c>
      <c r="G28" s="165"/>
      <c r="H28" s="165">
        <f>300000+65000+90000</f>
        <v>455000</v>
      </c>
      <c r="I28" s="165">
        <f t="shared" si="0"/>
        <v>455000</v>
      </c>
    </row>
    <row r="29" spans="1:9" ht="78.75">
      <c r="A29" s="53" t="s">
        <v>400</v>
      </c>
      <c r="B29" s="54" t="s">
        <v>402</v>
      </c>
      <c r="C29" s="54" t="s">
        <v>408</v>
      </c>
      <c r="D29" s="44" t="s">
        <v>409</v>
      </c>
      <c r="E29" s="188" t="s">
        <v>405</v>
      </c>
      <c r="F29" s="117" t="s">
        <v>620</v>
      </c>
      <c r="G29" s="165">
        <f>1050000-4408-45000</f>
        <v>1000592</v>
      </c>
      <c r="H29" s="165"/>
      <c r="I29" s="165">
        <f t="shared" si="0"/>
        <v>1000592</v>
      </c>
    </row>
    <row r="30" spans="1:9" ht="63">
      <c r="A30" s="53" t="s">
        <v>421</v>
      </c>
      <c r="B30" s="54" t="s">
        <v>422</v>
      </c>
      <c r="C30" s="54">
        <v>180109</v>
      </c>
      <c r="D30" s="44" t="s">
        <v>42</v>
      </c>
      <c r="E30" s="116" t="s">
        <v>317</v>
      </c>
      <c r="F30" s="117" t="s">
        <v>617</v>
      </c>
      <c r="G30" s="165">
        <f>37300+16000</f>
        <v>53300</v>
      </c>
      <c r="H30" s="165"/>
      <c r="I30" s="165">
        <f>G30+H30</f>
        <v>53300</v>
      </c>
    </row>
    <row r="31" spans="1:9" ht="15.75">
      <c r="A31" s="53" t="s">
        <v>501</v>
      </c>
      <c r="B31" s="58">
        <v>7360</v>
      </c>
      <c r="C31" s="58"/>
      <c r="D31" s="105"/>
      <c r="E31" s="51" t="s">
        <v>454</v>
      </c>
      <c r="F31" s="117"/>
      <c r="G31" s="165"/>
      <c r="H31" s="165"/>
      <c r="I31" s="165"/>
    </row>
    <row r="32" spans="1:9" ht="111" customHeight="1">
      <c r="A32" s="53" t="s">
        <v>502</v>
      </c>
      <c r="B32" s="106">
        <v>7361</v>
      </c>
      <c r="C32" s="58"/>
      <c r="D32" s="105" t="s">
        <v>42</v>
      </c>
      <c r="E32" s="52" t="s">
        <v>455</v>
      </c>
      <c r="F32" s="117" t="s">
        <v>530</v>
      </c>
      <c r="G32" s="165"/>
      <c r="H32" s="165">
        <f>8223239+1545575-1026954-1554197+3022900-3022900</f>
        <v>7187663</v>
      </c>
      <c r="I32" s="165">
        <f aca="true" t="shared" si="1" ref="I32:I38">G32+H32</f>
        <v>7187663</v>
      </c>
    </row>
    <row r="33" spans="1:9" ht="84.75" customHeight="1">
      <c r="A33" s="53" t="s">
        <v>576</v>
      </c>
      <c r="B33" s="106">
        <v>7362</v>
      </c>
      <c r="C33" s="58"/>
      <c r="D33" s="105" t="s">
        <v>42</v>
      </c>
      <c r="E33" s="176" t="s">
        <v>577</v>
      </c>
      <c r="F33" s="117" t="s">
        <v>619</v>
      </c>
      <c r="G33" s="165"/>
      <c r="H33" s="165">
        <f>9996200</f>
        <v>9996200</v>
      </c>
      <c r="I33" s="165">
        <f t="shared" si="1"/>
        <v>9996200</v>
      </c>
    </row>
    <row r="34" spans="1:9" ht="72.75" customHeight="1">
      <c r="A34" s="53" t="s">
        <v>563</v>
      </c>
      <c r="B34" s="106">
        <v>7366</v>
      </c>
      <c r="C34" s="58"/>
      <c r="D34" s="105" t="s">
        <v>42</v>
      </c>
      <c r="E34" s="52" t="s">
        <v>564</v>
      </c>
      <c r="F34" s="175" t="s">
        <v>621</v>
      </c>
      <c r="G34" s="165"/>
      <c r="H34" s="165">
        <v>2530639</v>
      </c>
      <c r="I34" s="165">
        <f t="shared" si="1"/>
        <v>2530639</v>
      </c>
    </row>
    <row r="35" spans="1:9" ht="47.25">
      <c r="A35" s="53" t="s">
        <v>421</v>
      </c>
      <c r="B35" s="54" t="s">
        <v>422</v>
      </c>
      <c r="C35" s="54">
        <v>180109</v>
      </c>
      <c r="D35" s="44" t="s">
        <v>42</v>
      </c>
      <c r="E35" s="116" t="s">
        <v>317</v>
      </c>
      <c r="F35" s="117" t="s">
        <v>412</v>
      </c>
      <c r="G35" s="165">
        <f>750000-750000</f>
        <v>0</v>
      </c>
      <c r="H35" s="165"/>
      <c r="I35" s="165">
        <f t="shared" si="1"/>
        <v>0</v>
      </c>
    </row>
    <row r="36" spans="1:9" ht="30">
      <c r="A36" s="53" t="s">
        <v>521</v>
      </c>
      <c r="B36" s="54" t="s">
        <v>523</v>
      </c>
      <c r="C36" s="54"/>
      <c r="D36" s="44"/>
      <c r="E36" s="51" t="s">
        <v>526</v>
      </c>
      <c r="F36" s="117"/>
      <c r="G36" s="165"/>
      <c r="H36" s="165"/>
      <c r="I36" s="165"/>
    </row>
    <row r="37" spans="1:9" ht="63">
      <c r="A37" s="53" t="s">
        <v>631</v>
      </c>
      <c r="B37" s="102" t="s">
        <v>632</v>
      </c>
      <c r="C37" s="102"/>
      <c r="D37" s="105" t="s">
        <v>525</v>
      </c>
      <c r="E37" s="52" t="s">
        <v>633</v>
      </c>
      <c r="F37" s="117" t="s">
        <v>529</v>
      </c>
      <c r="G37" s="165">
        <f>315000</f>
        <v>315000</v>
      </c>
      <c r="H37" s="165"/>
      <c r="I37" s="165">
        <f t="shared" si="1"/>
        <v>315000</v>
      </c>
    </row>
    <row r="38" spans="1:9" ht="63">
      <c r="A38" s="53" t="s">
        <v>522</v>
      </c>
      <c r="B38" s="102" t="s">
        <v>524</v>
      </c>
      <c r="C38" s="102"/>
      <c r="D38" s="105" t="s">
        <v>525</v>
      </c>
      <c r="E38" s="52" t="s">
        <v>527</v>
      </c>
      <c r="F38" s="117" t="s">
        <v>529</v>
      </c>
      <c r="G38" s="165">
        <f>301980+20000+288209+13300</f>
        <v>623489</v>
      </c>
      <c r="H38" s="165">
        <f>4550000</f>
        <v>4550000</v>
      </c>
      <c r="I38" s="165">
        <f t="shared" si="1"/>
        <v>5173489</v>
      </c>
    </row>
    <row r="39" spans="1:9" ht="30">
      <c r="A39" s="53" t="s">
        <v>325</v>
      </c>
      <c r="B39" s="54" t="s">
        <v>326</v>
      </c>
      <c r="C39" s="54"/>
      <c r="D39" s="44"/>
      <c r="E39" s="51" t="s">
        <v>328</v>
      </c>
      <c r="F39" s="117"/>
      <c r="G39" s="165"/>
      <c r="H39" s="165"/>
      <c r="I39" s="165"/>
    </row>
    <row r="40" spans="1:9" ht="78.75">
      <c r="A40" s="53" t="s">
        <v>329</v>
      </c>
      <c r="B40" s="102" t="s">
        <v>330</v>
      </c>
      <c r="C40" s="54" t="s">
        <v>327</v>
      </c>
      <c r="D40" s="105" t="s">
        <v>356</v>
      </c>
      <c r="E40" s="103" t="s">
        <v>331</v>
      </c>
      <c r="F40" s="117" t="s">
        <v>619</v>
      </c>
      <c r="G40" s="165">
        <f>5000000+147600+515936</f>
        <v>5663536</v>
      </c>
      <c r="H40" s="165">
        <f>7867400-69947+1554197-515936+3022900</f>
        <v>11858614</v>
      </c>
      <c r="I40" s="165">
        <f>G40+H40</f>
        <v>17522150</v>
      </c>
    </row>
    <row r="41" spans="1:9" ht="63">
      <c r="A41" s="53" t="s">
        <v>590</v>
      </c>
      <c r="B41" s="54" t="s">
        <v>591</v>
      </c>
      <c r="C41" s="70"/>
      <c r="D41" s="105" t="s">
        <v>42</v>
      </c>
      <c r="E41" s="55" t="s">
        <v>593</v>
      </c>
      <c r="F41" s="117" t="s">
        <v>592</v>
      </c>
      <c r="G41" s="165"/>
      <c r="H41" s="165">
        <v>259248</v>
      </c>
      <c r="I41" s="165">
        <f>G41+H41</f>
        <v>259248</v>
      </c>
    </row>
    <row r="42" spans="1:9" ht="78.75">
      <c r="A42" s="53" t="s">
        <v>571</v>
      </c>
      <c r="B42" s="54" t="s">
        <v>572</v>
      </c>
      <c r="C42" s="70"/>
      <c r="D42" s="44" t="s">
        <v>42</v>
      </c>
      <c r="E42" s="55" t="s">
        <v>573</v>
      </c>
      <c r="F42" s="117" t="s">
        <v>619</v>
      </c>
      <c r="G42" s="165"/>
      <c r="H42" s="165">
        <f>1300000-1300000</f>
        <v>0</v>
      </c>
      <c r="I42" s="165">
        <f>G42+H42</f>
        <v>0</v>
      </c>
    </row>
    <row r="43" spans="1:9" ht="47.25">
      <c r="A43" s="53" t="s">
        <v>335</v>
      </c>
      <c r="B43" s="54" t="s">
        <v>336</v>
      </c>
      <c r="C43" s="70"/>
      <c r="D43" s="44" t="s">
        <v>42</v>
      </c>
      <c r="E43" s="116" t="s">
        <v>337</v>
      </c>
      <c r="F43" s="117" t="s">
        <v>366</v>
      </c>
      <c r="G43" s="170">
        <f>5000+10000</f>
        <v>15000</v>
      </c>
      <c r="H43" s="165"/>
      <c r="I43" s="165">
        <f t="shared" si="0"/>
        <v>15000</v>
      </c>
    </row>
    <row r="44" spans="1:9" ht="47.25">
      <c r="A44" s="53" t="s">
        <v>335</v>
      </c>
      <c r="B44" s="54" t="s">
        <v>336</v>
      </c>
      <c r="C44" s="70"/>
      <c r="D44" s="44" t="s">
        <v>42</v>
      </c>
      <c r="E44" s="116" t="s">
        <v>337</v>
      </c>
      <c r="F44" s="117" t="s">
        <v>150</v>
      </c>
      <c r="G44" s="170">
        <v>1000</v>
      </c>
      <c r="H44" s="165"/>
      <c r="I44" s="165">
        <f t="shared" si="0"/>
        <v>1000</v>
      </c>
    </row>
    <row r="45" spans="1:9" ht="47.25">
      <c r="A45" s="53" t="s">
        <v>335</v>
      </c>
      <c r="B45" s="54" t="s">
        <v>336</v>
      </c>
      <c r="C45" s="70"/>
      <c r="D45" s="44" t="s">
        <v>42</v>
      </c>
      <c r="E45" s="116" t="s">
        <v>337</v>
      </c>
      <c r="F45" s="117" t="s">
        <v>367</v>
      </c>
      <c r="G45" s="170">
        <v>20000</v>
      </c>
      <c r="H45" s="165"/>
      <c r="I45" s="165">
        <f t="shared" si="0"/>
        <v>20000</v>
      </c>
    </row>
    <row r="46" spans="1:9" ht="63">
      <c r="A46" s="53" t="s">
        <v>318</v>
      </c>
      <c r="B46" s="53" t="s">
        <v>319</v>
      </c>
      <c r="C46" s="70">
        <v>180410</v>
      </c>
      <c r="D46" s="44" t="s">
        <v>42</v>
      </c>
      <c r="E46" s="116" t="s">
        <v>104</v>
      </c>
      <c r="F46" s="117" t="s">
        <v>399</v>
      </c>
      <c r="G46" s="165">
        <f>123050+21457</f>
        <v>144507</v>
      </c>
      <c r="H46" s="165"/>
      <c r="I46" s="165">
        <f t="shared" si="0"/>
        <v>144507</v>
      </c>
    </row>
    <row r="47" spans="1:9" ht="78.75">
      <c r="A47" s="53" t="s">
        <v>361</v>
      </c>
      <c r="B47" s="54" t="s">
        <v>360</v>
      </c>
      <c r="C47" s="54">
        <v>210105</v>
      </c>
      <c r="D47" s="44" t="s">
        <v>54</v>
      </c>
      <c r="E47" s="116" t="s">
        <v>387</v>
      </c>
      <c r="F47" s="117" t="s">
        <v>622</v>
      </c>
      <c r="G47" s="165">
        <v>96300</v>
      </c>
      <c r="H47" s="165"/>
      <c r="I47" s="165">
        <f aca="true" t="shared" si="2" ref="I47:I54">G47+H47</f>
        <v>96300</v>
      </c>
    </row>
    <row r="48" spans="1:9" ht="78.75">
      <c r="A48" s="53" t="s">
        <v>320</v>
      </c>
      <c r="B48" s="54" t="s">
        <v>321</v>
      </c>
      <c r="C48" s="54">
        <v>210110</v>
      </c>
      <c r="D48" s="44" t="s">
        <v>54</v>
      </c>
      <c r="E48" s="44" t="s">
        <v>324</v>
      </c>
      <c r="F48" s="117" t="s">
        <v>622</v>
      </c>
      <c r="G48" s="165">
        <v>10000</v>
      </c>
      <c r="H48" s="165"/>
      <c r="I48" s="165">
        <f t="shared" si="2"/>
        <v>10000</v>
      </c>
    </row>
    <row r="49" spans="1:9" ht="78.75">
      <c r="A49" s="53" t="s">
        <v>322</v>
      </c>
      <c r="B49" s="54" t="s">
        <v>323</v>
      </c>
      <c r="C49" s="54"/>
      <c r="D49" s="44" t="s">
        <v>54</v>
      </c>
      <c r="E49" s="59" t="s">
        <v>307</v>
      </c>
      <c r="F49" s="117" t="s">
        <v>622</v>
      </c>
      <c r="G49" s="165"/>
      <c r="H49" s="165">
        <f>46662</f>
        <v>46662</v>
      </c>
      <c r="I49" s="165">
        <f t="shared" si="2"/>
        <v>46662</v>
      </c>
    </row>
    <row r="50" spans="1:9" ht="30">
      <c r="A50" s="53" t="s">
        <v>548</v>
      </c>
      <c r="B50" s="54" t="s">
        <v>549</v>
      </c>
      <c r="C50" s="54"/>
      <c r="D50" s="44"/>
      <c r="E50" s="59" t="s">
        <v>550</v>
      </c>
      <c r="F50" s="117"/>
      <c r="G50" s="165"/>
      <c r="H50" s="165"/>
      <c r="I50" s="165">
        <f t="shared" si="2"/>
        <v>0</v>
      </c>
    </row>
    <row r="51" spans="1:9" ht="78.75">
      <c r="A51" s="53" t="s">
        <v>551</v>
      </c>
      <c r="B51" s="102" t="s">
        <v>552</v>
      </c>
      <c r="C51" s="102"/>
      <c r="D51" s="105" t="s">
        <v>553</v>
      </c>
      <c r="E51" s="167" t="s">
        <v>554</v>
      </c>
      <c r="F51" s="117" t="s">
        <v>623</v>
      </c>
      <c r="G51" s="165"/>
      <c r="H51" s="165">
        <f>55800+28739</f>
        <v>84539</v>
      </c>
      <c r="I51" s="165">
        <f t="shared" si="2"/>
        <v>84539</v>
      </c>
    </row>
    <row r="52" spans="1:9" ht="78.75">
      <c r="A52" s="53" t="s">
        <v>662</v>
      </c>
      <c r="B52" s="102" t="s">
        <v>663</v>
      </c>
      <c r="C52" s="102"/>
      <c r="D52" s="105" t="s">
        <v>664</v>
      </c>
      <c r="E52" s="167" t="s">
        <v>666</v>
      </c>
      <c r="F52" s="117" t="s">
        <v>623</v>
      </c>
      <c r="G52" s="165"/>
      <c r="H52" s="165">
        <v>4000</v>
      </c>
      <c r="I52" s="165">
        <f>G52+H52</f>
        <v>4000</v>
      </c>
    </row>
    <row r="53" spans="1:9" ht="78.75">
      <c r="A53" s="53" t="s">
        <v>555</v>
      </c>
      <c r="B53" s="54" t="s">
        <v>556</v>
      </c>
      <c r="C53" s="54"/>
      <c r="D53" s="44" t="s">
        <v>106</v>
      </c>
      <c r="E53" s="59" t="s">
        <v>557</v>
      </c>
      <c r="F53" s="117" t="s">
        <v>623</v>
      </c>
      <c r="G53" s="165"/>
      <c r="H53" s="165">
        <f>112200+54200-4000</f>
        <v>162400</v>
      </c>
      <c r="I53" s="165">
        <f t="shared" si="2"/>
        <v>162400</v>
      </c>
    </row>
    <row r="54" spans="1:9" ht="45">
      <c r="A54" s="53" t="s">
        <v>332</v>
      </c>
      <c r="B54" s="54" t="s">
        <v>333</v>
      </c>
      <c r="C54" s="54">
        <v>120201</v>
      </c>
      <c r="D54" s="44" t="s">
        <v>53</v>
      </c>
      <c r="E54" s="115" t="s">
        <v>334</v>
      </c>
      <c r="F54" s="116" t="s">
        <v>352</v>
      </c>
      <c r="G54" s="165">
        <v>199000</v>
      </c>
      <c r="H54" s="165"/>
      <c r="I54" s="165">
        <f t="shared" si="2"/>
        <v>199000</v>
      </c>
    </row>
    <row r="55" spans="1:9" ht="43.5">
      <c r="A55" s="257" t="s">
        <v>190</v>
      </c>
      <c r="B55" s="54"/>
      <c r="C55" s="54"/>
      <c r="D55" s="44"/>
      <c r="E55" s="309" t="s">
        <v>172</v>
      </c>
      <c r="F55" s="117"/>
      <c r="G55" s="166">
        <f>G56</f>
        <v>3305321</v>
      </c>
      <c r="H55" s="166">
        <f>H56</f>
        <v>39704748</v>
      </c>
      <c r="I55" s="166">
        <f>I56</f>
        <v>43010069</v>
      </c>
    </row>
    <row r="56" spans="1:9" ht="43.5">
      <c r="A56" s="257" t="s">
        <v>353</v>
      </c>
      <c r="B56" s="265"/>
      <c r="C56" s="266"/>
      <c r="D56" s="44"/>
      <c r="E56" s="309" t="s">
        <v>183</v>
      </c>
      <c r="F56" s="122"/>
      <c r="G56" s="166">
        <f>SUM(G57:G80)</f>
        <v>3305321</v>
      </c>
      <c r="H56" s="166">
        <f>SUM(H57:H80)</f>
        <v>39704748</v>
      </c>
      <c r="I56" s="166">
        <f aca="true" t="shared" si="3" ref="I56:I67">G56+H56</f>
        <v>43010069</v>
      </c>
    </row>
    <row r="57" spans="1:9" ht="63">
      <c r="A57" s="44" t="s">
        <v>191</v>
      </c>
      <c r="B57" s="54" t="s">
        <v>186</v>
      </c>
      <c r="C57" s="54" t="s">
        <v>36</v>
      </c>
      <c r="D57" s="44" t="s">
        <v>28</v>
      </c>
      <c r="E57" s="116" t="s">
        <v>185</v>
      </c>
      <c r="F57" s="117" t="s">
        <v>598</v>
      </c>
      <c r="G57" s="165"/>
      <c r="H57" s="165">
        <f>25700+84000</f>
        <v>109700</v>
      </c>
      <c r="I57" s="165">
        <f t="shared" si="3"/>
        <v>109700</v>
      </c>
    </row>
    <row r="58" spans="1:9" ht="63">
      <c r="A58" s="53" t="s">
        <v>243</v>
      </c>
      <c r="B58" s="54" t="s">
        <v>71</v>
      </c>
      <c r="C58" s="54">
        <v>70101</v>
      </c>
      <c r="D58" s="44" t="s">
        <v>62</v>
      </c>
      <c r="E58" s="161" t="s">
        <v>244</v>
      </c>
      <c r="F58" s="117" t="s">
        <v>598</v>
      </c>
      <c r="G58" s="165">
        <v>212084</v>
      </c>
      <c r="H58" s="165">
        <f>1942580+878826+102978+1627048+330617+63000-260485</f>
        <v>4684564</v>
      </c>
      <c r="I58" s="165">
        <f t="shared" si="3"/>
        <v>4896648</v>
      </c>
    </row>
    <row r="59" spans="1:9" ht="75">
      <c r="A59" s="53" t="s">
        <v>245</v>
      </c>
      <c r="B59" s="54" t="s">
        <v>72</v>
      </c>
      <c r="C59" s="54">
        <v>70201</v>
      </c>
      <c r="D59" s="44" t="s">
        <v>63</v>
      </c>
      <c r="E59" s="51" t="s">
        <v>130</v>
      </c>
      <c r="F59" s="117" t="s">
        <v>598</v>
      </c>
      <c r="G59" s="165">
        <f>52000+60000</f>
        <v>112000</v>
      </c>
      <c r="H59" s="165">
        <f>107468+506802+96000+2542882+1272000+989652-172536-1052700-274963+88300+940130-97361-226758+8953+23185+3409537</f>
        <v>8160591</v>
      </c>
      <c r="I59" s="165">
        <f t="shared" si="3"/>
        <v>8272591</v>
      </c>
    </row>
    <row r="60" spans="1:9" ht="15.75">
      <c r="A60" s="53" t="s">
        <v>252</v>
      </c>
      <c r="B60" s="54" t="s">
        <v>152</v>
      </c>
      <c r="C60" s="57"/>
      <c r="D60" s="44"/>
      <c r="E60" s="116" t="s">
        <v>253</v>
      </c>
      <c r="F60" s="122"/>
      <c r="G60" s="166"/>
      <c r="H60" s="166"/>
      <c r="I60" s="165"/>
    </row>
    <row r="61" spans="1:9" ht="30">
      <c r="A61" s="53" t="s">
        <v>392</v>
      </c>
      <c r="B61" s="102" t="s">
        <v>368</v>
      </c>
      <c r="C61" s="109"/>
      <c r="D61" s="105" t="s">
        <v>65</v>
      </c>
      <c r="E61" s="167" t="s">
        <v>369</v>
      </c>
      <c r="F61" s="122"/>
      <c r="G61" s="165">
        <f>21800</f>
        <v>21800</v>
      </c>
      <c r="H61" s="165">
        <f>98000+138600+190600+7732205-6361799</f>
        <v>1797606</v>
      </c>
      <c r="I61" s="165">
        <f t="shared" si="3"/>
        <v>1819406</v>
      </c>
    </row>
    <row r="62" spans="1:9" ht="63">
      <c r="A62" s="53" t="s">
        <v>391</v>
      </c>
      <c r="B62" s="102" t="s">
        <v>390</v>
      </c>
      <c r="C62" s="109"/>
      <c r="D62" s="105" t="s">
        <v>65</v>
      </c>
      <c r="E62" s="118" t="s">
        <v>393</v>
      </c>
      <c r="F62" s="117" t="s">
        <v>598</v>
      </c>
      <c r="G62" s="165">
        <f>944110+41400+71709</f>
        <v>1057219</v>
      </c>
      <c r="H62" s="166"/>
      <c r="I62" s="165">
        <f t="shared" si="3"/>
        <v>1057219</v>
      </c>
    </row>
    <row r="63" spans="1:9" ht="60">
      <c r="A63" s="53" t="s">
        <v>309</v>
      </c>
      <c r="B63" s="58">
        <v>3030</v>
      </c>
      <c r="C63" s="57"/>
      <c r="D63" s="44"/>
      <c r="E63" s="116" t="s">
        <v>650</v>
      </c>
      <c r="F63" s="117"/>
      <c r="G63" s="165"/>
      <c r="H63" s="165"/>
      <c r="I63" s="165">
        <f t="shared" si="3"/>
        <v>0</v>
      </c>
    </row>
    <row r="64" spans="1:9" ht="63">
      <c r="A64" s="53" t="s">
        <v>341</v>
      </c>
      <c r="B64" s="58">
        <v>3033</v>
      </c>
      <c r="C64" s="54">
        <v>170102</v>
      </c>
      <c r="D64" s="44" t="s">
        <v>70</v>
      </c>
      <c r="E64" s="116" t="s">
        <v>115</v>
      </c>
      <c r="F64" s="117" t="s">
        <v>598</v>
      </c>
      <c r="G64" s="165">
        <v>167840</v>
      </c>
      <c r="H64" s="165"/>
      <c r="I64" s="165">
        <f t="shared" si="3"/>
        <v>167840</v>
      </c>
    </row>
    <row r="65" spans="1:9" ht="15.75">
      <c r="A65" s="53" t="s">
        <v>235</v>
      </c>
      <c r="B65" s="58">
        <v>3130</v>
      </c>
      <c r="C65" s="54"/>
      <c r="D65" s="44"/>
      <c r="E65" s="124" t="s">
        <v>236</v>
      </c>
      <c r="F65" s="117"/>
      <c r="G65" s="165"/>
      <c r="H65" s="165"/>
      <c r="I65" s="165">
        <f t="shared" si="3"/>
        <v>0</v>
      </c>
    </row>
    <row r="66" spans="1:9" ht="110.25">
      <c r="A66" s="53" t="s">
        <v>237</v>
      </c>
      <c r="B66" s="58">
        <v>3133</v>
      </c>
      <c r="C66" s="54"/>
      <c r="D66" s="44" t="s">
        <v>51</v>
      </c>
      <c r="E66" s="118" t="s">
        <v>153</v>
      </c>
      <c r="F66" s="117" t="s">
        <v>615</v>
      </c>
      <c r="G66" s="165">
        <f>100000+85000</f>
        <v>185000</v>
      </c>
      <c r="H66" s="165">
        <f>15000</f>
        <v>15000</v>
      </c>
      <c r="I66" s="165">
        <f t="shared" si="3"/>
        <v>200000</v>
      </c>
    </row>
    <row r="67" spans="1:9" ht="63">
      <c r="A67" s="53" t="s">
        <v>396</v>
      </c>
      <c r="B67" s="58">
        <v>3140</v>
      </c>
      <c r="C67" s="54"/>
      <c r="D67" s="44" t="s">
        <v>51</v>
      </c>
      <c r="E67" s="116" t="s">
        <v>132</v>
      </c>
      <c r="F67" s="117" t="s">
        <v>598</v>
      </c>
      <c r="G67" s="165">
        <f>399375+200000+200000</f>
        <v>799375</v>
      </c>
      <c r="H67" s="165"/>
      <c r="I67" s="165">
        <f t="shared" si="3"/>
        <v>799375</v>
      </c>
    </row>
    <row r="68" spans="1:9" ht="15.75">
      <c r="A68" s="53" t="s">
        <v>238</v>
      </c>
      <c r="B68" s="58">
        <v>5010</v>
      </c>
      <c r="C68" s="54"/>
      <c r="D68" s="44"/>
      <c r="E68" s="116" t="s">
        <v>134</v>
      </c>
      <c r="F68" s="117"/>
      <c r="G68" s="165"/>
      <c r="H68" s="165"/>
      <c r="I68" s="165"/>
    </row>
    <row r="69" spans="1:9" ht="63">
      <c r="A69" s="53" t="s">
        <v>239</v>
      </c>
      <c r="B69" s="106">
        <v>5011</v>
      </c>
      <c r="C69" s="106">
        <v>130102</v>
      </c>
      <c r="D69" s="105" t="s">
        <v>67</v>
      </c>
      <c r="E69" s="118" t="s">
        <v>135</v>
      </c>
      <c r="F69" s="117" t="s">
        <v>614</v>
      </c>
      <c r="G69" s="165">
        <v>360000</v>
      </c>
      <c r="H69" s="165"/>
      <c r="I69" s="165">
        <f>G69+H69</f>
        <v>360000</v>
      </c>
    </row>
    <row r="70" spans="1:9" ht="63">
      <c r="A70" s="53" t="s">
        <v>240</v>
      </c>
      <c r="B70" s="106">
        <v>5012</v>
      </c>
      <c r="C70" s="106"/>
      <c r="D70" s="105" t="s">
        <v>67</v>
      </c>
      <c r="E70" s="118" t="s">
        <v>651</v>
      </c>
      <c r="F70" s="117" t="s">
        <v>614</v>
      </c>
      <c r="G70" s="165">
        <v>240000</v>
      </c>
      <c r="H70" s="165"/>
      <c r="I70" s="165">
        <f>G70+H70</f>
        <v>240000</v>
      </c>
    </row>
    <row r="71" spans="1:9" ht="15.75">
      <c r="A71" s="53" t="s">
        <v>586</v>
      </c>
      <c r="B71" s="58">
        <v>5060</v>
      </c>
      <c r="C71" s="58"/>
      <c r="D71" s="105"/>
      <c r="E71" s="51" t="s">
        <v>588</v>
      </c>
      <c r="F71" s="117"/>
      <c r="G71" s="165"/>
      <c r="H71" s="165"/>
      <c r="I71" s="165">
        <f>G71+H71</f>
        <v>0</v>
      </c>
    </row>
    <row r="72" spans="1:9" ht="63">
      <c r="A72" s="53" t="s">
        <v>587</v>
      </c>
      <c r="B72" s="106">
        <v>5062</v>
      </c>
      <c r="C72" s="58"/>
      <c r="D72" s="105" t="s">
        <v>67</v>
      </c>
      <c r="E72" s="52" t="s">
        <v>589</v>
      </c>
      <c r="F72" s="117" t="s">
        <v>614</v>
      </c>
      <c r="G72" s="165">
        <v>80300</v>
      </c>
      <c r="H72" s="165"/>
      <c r="I72" s="165">
        <f>G72+H72</f>
        <v>80300</v>
      </c>
    </row>
    <row r="73" spans="1:9" ht="63">
      <c r="A73" s="53" t="s">
        <v>561</v>
      </c>
      <c r="B73" s="58">
        <v>7130</v>
      </c>
      <c r="C73" s="58"/>
      <c r="D73" s="44" t="s">
        <v>406</v>
      </c>
      <c r="E73" s="55" t="s">
        <v>404</v>
      </c>
      <c r="F73" s="117" t="s">
        <v>614</v>
      </c>
      <c r="G73" s="165">
        <f>11750+57953</f>
        <v>69703</v>
      </c>
      <c r="H73" s="165"/>
      <c r="I73" s="165">
        <f>G73+H73</f>
        <v>69703</v>
      </c>
    </row>
    <row r="74" spans="1:9" ht="30">
      <c r="A74" s="53" t="s">
        <v>441</v>
      </c>
      <c r="B74" s="58">
        <v>7320</v>
      </c>
      <c r="C74" s="58"/>
      <c r="D74" s="105"/>
      <c r="E74" s="51" t="s">
        <v>442</v>
      </c>
      <c r="F74" s="117"/>
      <c r="G74" s="165"/>
      <c r="H74" s="165"/>
      <c r="I74" s="165"/>
    </row>
    <row r="75" spans="1:9" ht="63">
      <c r="A75" s="53" t="s">
        <v>440</v>
      </c>
      <c r="B75" s="106">
        <v>7321</v>
      </c>
      <c r="C75" s="58"/>
      <c r="D75" s="105" t="s">
        <v>409</v>
      </c>
      <c r="E75" s="52" t="s">
        <v>443</v>
      </c>
      <c r="F75" s="117" t="s">
        <v>598</v>
      </c>
      <c r="G75" s="165"/>
      <c r="H75" s="165">
        <f>634657+456603+556570+2086034-279349</f>
        <v>3454515</v>
      </c>
      <c r="I75" s="165">
        <f>G75+H75</f>
        <v>3454515</v>
      </c>
    </row>
    <row r="76" spans="1:9" ht="63">
      <c r="A76" s="53" t="s">
        <v>567</v>
      </c>
      <c r="B76" s="106">
        <v>7325</v>
      </c>
      <c r="C76" s="58"/>
      <c r="D76" s="105" t="s">
        <v>409</v>
      </c>
      <c r="E76" s="52" t="s">
        <v>568</v>
      </c>
      <c r="F76" s="117" t="s">
        <v>614</v>
      </c>
      <c r="G76" s="165"/>
      <c r="H76" s="165">
        <v>723312</v>
      </c>
      <c r="I76" s="165">
        <f>G76+H76</f>
        <v>723312</v>
      </c>
    </row>
    <row r="77" spans="1:9" ht="15.75">
      <c r="A77" s="53" t="s">
        <v>452</v>
      </c>
      <c r="B77" s="58">
        <v>7360</v>
      </c>
      <c r="C77" s="58"/>
      <c r="D77" s="105"/>
      <c r="E77" s="51" t="s">
        <v>454</v>
      </c>
      <c r="F77" s="117"/>
      <c r="G77" s="165"/>
      <c r="H77" s="165"/>
      <c r="I77" s="165"/>
    </row>
    <row r="78" spans="1:9" ht="63">
      <c r="A78" s="53" t="s">
        <v>453</v>
      </c>
      <c r="B78" s="106">
        <v>7361</v>
      </c>
      <c r="C78" s="58"/>
      <c r="D78" s="105" t="s">
        <v>42</v>
      </c>
      <c r="E78" s="52" t="s">
        <v>455</v>
      </c>
      <c r="F78" s="117" t="s">
        <v>598</v>
      </c>
      <c r="G78" s="165"/>
      <c r="H78" s="165">
        <f>1290145+1401632</f>
        <v>2691777</v>
      </c>
      <c r="I78" s="165">
        <f>G78+H78</f>
        <v>2691777</v>
      </c>
    </row>
    <row r="79" spans="1:9" ht="82.5" customHeight="1">
      <c r="A79" s="53" t="s">
        <v>596</v>
      </c>
      <c r="B79" s="106">
        <v>7363</v>
      </c>
      <c r="C79" s="58"/>
      <c r="D79" s="105" t="s">
        <v>42</v>
      </c>
      <c r="E79" s="176" t="s">
        <v>597</v>
      </c>
      <c r="F79" s="117" t="s">
        <v>598</v>
      </c>
      <c r="G79" s="165"/>
      <c r="H79" s="165">
        <v>2517174</v>
      </c>
      <c r="I79" s="165">
        <f>G79+H79</f>
        <v>2517174</v>
      </c>
    </row>
    <row r="80" spans="1:9" ht="74.25" customHeight="1">
      <c r="A80" s="53" t="s">
        <v>565</v>
      </c>
      <c r="B80" s="106">
        <v>7366</v>
      </c>
      <c r="C80" s="58"/>
      <c r="D80" s="105" t="s">
        <v>42</v>
      </c>
      <c r="E80" s="52" t="s">
        <v>564</v>
      </c>
      <c r="F80" s="117" t="s">
        <v>598</v>
      </c>
      <c r="G80" s="165"/>
      <c r="H80" s="165">
        <v>15550509</v>
      </c>
      <c r="I80" s="165">
        <f>G80+H80</f>
        <v>15550509</v>
      </c>
    </row>
    <row r="81" spans="1:9" ht="44.25">
      <c r="A81" s="267" t="s">
        <v>192</v>
      </c>
      <c r="B81" s="58"/>
      <c r="C81" s="58"/>
      <c r="D81" s="44"/>
      <c r="E81" s="309" t="s">
        <v>173</v>
      </c>
      <c r="F81" s="117"/>
      <c r="G81" s="166">
        <f>G82</f>
        <v>5632665</v>
      </c>
      <c r="H81" s="166">
        <f>H82</f>
        <v>2382815</v>
      </c>
      <c r="I81" s="166">
        <f>I82</f>
        <v>8015480</v>
      </c>
    </row>
    <row r="82" spans="1:9" ht="44.25">
      <c r="A82" s="267" t="s">
        <v>193</v>
      </c>
      <c r="B82" s="169"/>
      <c r="C82" s="266"/>
      <c r="D82" s="44"/>
      <c r="E82" s="309" t="s">
        <v>174</v>
      </c>
      <c r="F82" s="122"/>
      <c r="G82" s="166">
        <f>SUM(G83:G102)</f>
        <v>5632665</v>
      </c>
      <c r="H82" s="166">
        <f>SUM(H83:H105)</f>
        <v>2382815</v>
      </c>
      <c r="I82" s="166">
        <f aca="true" t="shared" si="4" ref="I82:I100">G82+H82</f>
        <v>8015480</v>
      </c>
    </row>
    <row r="83" spans="1:9" ht="63">
      <c r="A83" s="53" t="s">
        <v>194</v>
      </c>
      <c r="B83" s="54" t="s">
        <v>186</v>
      </c>
      <c r="C83" s="54" t="s">
        <v>36</v>
      </c>
      <c r="D83" s="44" t="s">
        <v>28</v>
      </c>
      <c r="E83" s="59" t="s">
        <v>185</v>
      </c>
      <c r="F83" s="160" t="s">
        <v>478</v>
      </c>
      <c r="G83" s="165"/>
      <c r="H83" s="165">
        <f>37400</f>
        <v>37400</v>
      </c>
      <c r="I83" s="165">
        <f t="shared" si="4"/>
        <v>37400</v>
      </c>
    </row>
    <row r="84" spans="1:9" ht="60">
      <c r="A84" s="53" t="s">
        <v>299</v>
      </c>
      <c r="B84" s="58">
        <v>3030</v>
      </c>
      <c r="C84" s="57"/>
      <c r="D84" s="44"/>
      <c r="E84" s="116" t="s">
        <v>650</v>
      </c>
      <c r="F84" s="116"/>
      <c r="G84" s="171"/>
      <c r="H84" s="171"/>
      <c r="I84" s="165">
        <f t="shared" si="4"/>
        <v>0</v>
      </c>
    </row>
    <row r="85" spans="1:9" ht="63">
      <c r="A85" s="53" t="s">
        <v>300</v>
      </c>
      <c r="B85" s="58">
        <v>3031</v>
      </c>
      <c r="C85" s="57" t="s">
        <v>301</v>
      </c>
      <c r="D85" s="44" t="s">
        <v>69</v>
      </c>
      <c r="E85" s="116" t="s">
        <v>302</v>
      </c>
      <c r="F85" s="117" t="s">
        <v>613</v>
      </c>
      <c r="G85" s="170">
        <v>160019</v>
      </c>
      <c r="H85" s="171"/>
      <c r="I85" s="165">
        <f t="shared" si="4"/>
        <v>160019</v>
      </c>
    </row>
    <row r="86" spans="1:9" ht="63">
      <c r="A86" s="53" t="s">
        <v>303</v>
      </c>
      <c r="B86" s="58">
        <v>3032</v>
      </c>
      <c r="C86" s="57" t="s">
        <v>139</v>
      </c>
      <c r="D86" s="44" t="s">
        <v>70</v>
      </c>
      <c r="E86" s="116" t="s">
        <v>140</v>
      </c>
      <c r="F86" s="117" t="s">
        <v>613</v>
      </c>
      <c r="G86" s="170">
        <f>144343+92882</f>
        <v>237225</v>
      </c>
      <c r="H86" s="171"/>
      <c r="I86" s="165">
        <f t="shared" si="4"/>
        <v>237225</v>
      </c>
    </row>
    <row r="87" spans="1:9" ht="63">
      <c r="A87" s="53" t="s">
        <v>304</v>
      </c>
      <c r="B87" s="58">
        <v>3033</v>
      </c>
      <c r="C87" s="54">
        <v>170102</v>
      </c>
      <c r="D87" s="44" t="s">
        <v>70</v>
      </c>
      <c r="E87" s="116" t="s">
        <v>115</v>
      </c>
      <c r="F87" s="117" t="s">
        <v>613</v>
      </c>
      <c r="G87" s="170">
        <f>1500000-151400+151400-150000</f>
        <v>1350000</v>
      </c>
      <c r="H87" s="171"/>
      <c r="I87" s="165">
        <f t="shared" si="4"/>
        <v>1350000</v>
      </c>
    </row>
    <row r="88" spans="1:9" ht="63">
      <c r="A88" s="53" t="s">
        <v>305</v>
      </c>
      <c r="B88" s="58">
        <v>3035</v>
      </c>
      <c r="C88" s="54">
        <v>170302</v>
      </c>
      <c r="D88" s="44" t="s">
        <v>70</v>
      </c>
      <c r="E88" s="116" t="s">
        <v>116</v>
      </c>
      <c r="F88" s="117" t="s">
        <v>613</v>
      </c>
      <c r="G88" s="170">
        <v>1000000</v>
      </c>
      <c r="H88" s="165"/>
      <c r="I88" s="165">
        <f t="shared" si="4"/>
        <v>1000000</v>
      </c>
    </row>
    <row r="89" spans="1:9" ht="63">
      <c r="A89" s="53" t="s">
        <v>603</v>
      </c>
      <c r="B89" s="58">
        <v>3050</v>
      </c>
      <c r="C89" s="57"/>
      <c r="D89" s="44" t="s">
        <v>70</v>
      </c>
      <c r="E89" s="51" t="s">
        <v>604</v>
      </c>
      <c r="F89" s="117" t="s">
        <v>613</v>
      </c>
      <c r="G89" s="170">
        <v>20600</v>
      </c>
      <c r="H89" s="165"/>
      <c r="I89" s="165">
        <f t="shared" si="4"/>
        <v>20600</v>
      </c>
    </row>
    <row r="90" spans="1:9" ht="63">
      <c r="A90" s="53" t="s">
        <v>605</v>
      </c>
      <c r="B90" s="58">
        <v>3090</v>
      </c>
      <c r="C90" s="57"/>
      <c r="D90" s="44" t="s">
        <v>69</v>
      </c>
      <c r="E90" s="185" t="s">
        <v>606</v>
      </c>
      <c r="F90" s="117" t="s">
        <v>613</v>
      </c>
      <c r="G90" s="170">
        <v>13300</v>
      </c>
      <c r="H90" s="165"/>
      <c r="I90" s="165">
        <f t="shared" si="4"/>
        <v>13300</v>
      </c>
    </row>
    <row r="91" spans="1:9" ht="60">
      <c r="A91" s="53" t="s">
        <v>209</v>
      </c>
      <c r="B91" s="58">
        <v>3100</v>
      </c>
      <c r="C91" s="57"/>
      <c r="D91" s="44"/>
      <c r="E91" s="51" t="s">
        <v>372</v>
      </c>
      <c r="F91" s="117"/>
      <c r="G91" s="170"/>
      <c r="H91" s="165"/>
      <c r="I91" s="165"/>
    </row>
    <row r="92" spans="1:9" ht="63">
      <c r="A92" s="53" t="s">
        <v>210</v>
      </c>
      <c r="B92" s="106">
        <v>3104</v>
      </c>
      <c r="C92" s="54" t="s">
        <v>81</v>
      </c>
      <c r="D92" s="105" t="s">
        <v>72</v>
      </c>
      <c r="E92" s="69" t="s">
        <v>147</v>
      </c>
      <c r="F92" s="117" t="s">
        <v>613</v>
      </c>
      <c r="G92" s="170"/>
      <c r="H92" s="165">
        <f>934876+151007+712835+10000+296548-20310</f>
        <v>2084956</v>
      </c>
      <c r="I92" s="165">
        <f t="shared" si="4"/>
        <v>2084956</v>
      </c>
    </row>
    <row r="93" spans="1:9" ht="30">
      <c r="A93" s="53" t="s">
        <v>607</v>
      </c>
      <c r="B93" s="95">
        <v>3170</v>
      </c>
      <c r="C93" s="54"/>
      <c r="D93" s="44"/>
      <c r="E93" s="51" t="s">
        <v>610</v>
      </c>
      <c r="F93" s="117"/>
      <c r="G93" s="170"/>
      <c r="H93" s="165"/>
      <c r="I93" s="165">
        <f t="shared" si="4"/>
        <v>0</v>
      </c>
    </row>
    <row r="94" spans="1:9" ht="63">
      <c r="A94" s="53" t="s">
        <v>608</v>
      </c>
      <c r="B94" s="107">
        <v>3171</v>
      </c>
      <c r="C94" s="54"/>
      <c r="D94" s="105" t="s">
        <v>71</v>
      </c>
      <c r="E94" s="52" t="s">
        <v>611</v>
      </c>
      <c r="F94" s="117" t="s">
        <v>613</v>
      </c>
      <c r="G94" s="170">
        <v>9900</v>
      </c>
      <c r="H94" s="165"/>
      <c r="I94" s="165">
        <f t="shared" si="4"/>
        <v>9900</v>
      </c>
    </row>
    <row r="95" spans="1:9" ht="63">
      <c r="A95" s="53" t="s">
        <v>609</v>
      </c>
      <c r="B95" s="107">
        <v>3172</v>
      </c>
      <c r="C95" s="54"/>
      <c r="D95" s="105" t="s">
        <v>71</v>
      </c>
      <c r="E95" s="52" t="s">
        <v>612</v>
      </c>
      <c r="F95" s="117" t="s">
        <v>613</v>
      </c>
      <c r="G95" s="170">
        <v>400</v>
      </c>
      <c r="H95" s="165"/>
      <c r="I95" s="165">
        <f t="shared" si="4"/>
        <v>400</v>
      </c>
    </row>
    <row r="96" spans="1:9" ht="75">
      <c r="A96" s="53" t="s">
        <v>214</v>
      </c>
      <c r="B96" s="58">
        <v>3180</v>
      </c>
      <c r="C96" s="54" t="s">
        <v>83</v>
      </c>
      <c r="D96" s="44" t="s">
        <v>41</v>
      </c>
      <c r="E96" s="120" t="s">
        <v>213</v>
      </c>
      <c r="F96" s="117" t="s">
        <v>613</v>
      </c>
      <c r="G96" s="165">
        <f>14500+37531+9500+8700</f>
        <v>70231</v>
      </c>
      <c r="H96" s="165"/>
      <c r="I96" s="165">
        <f t="shared" si="4"/>
        <v>70231</v>
      </c>
    </row>
    <row r="97" spans="1:9" ht="15.75">
      <c r="A97" s="53" t="s">
        <v>375</v>
      </c>
      <c r="B97" s="58">
        <v>3190</v>
      </c>
      <c r="C97" s="54"/>
      <c r="D97" s="44"/>
      <c r="E97" s="116" t="s">
        <v>148</v>
      </c>
      <c r="F97" s="117"/>
      <c r="G97" s="165"/>
      <c r="H97" s="165"/>
      <c r="I97" s="165">
        <f t="shared" si="4"/>
        <v>0</v>
      </c>
    </row>
    <row r="98" spans="1:9" ht="63">
      <c r="A98" s="53" t="s">
        <v>376</v>
      </c>
      <c r="B98" s="106">
        <v>3192</v>
      </c>
      <c r="C98" s="54" t="s">
        <v>84</v>
      </c>
      <c r="D98" s="105" t="s">
        <v>69</v>
      </c>
      <c r="E98" s="134" t="s">
        <v>428</v>
      </c>
      <c r="F98" s="117" t="s">
        <v>613</v>
      </c>
      <c r="G98" s="165">
        <f>310100+47620</f>
        <v>357720</v>
      </c>
      <c r="H98" s="165"/>
      <c r="I98" s="165">
        <f t="shared" si="4"/>
        <v>357720</v>
      </c>
    </row>
    <row r="99" spans="1:9" ht="94.5">
      <c r="A99" s="53" t="s">
        <v>376</v>
      </c>
      <c r="B99" s="106">
        <v>3192</v>
      </c>
      <c r="C99" s="54" t="s">
        <v>84</v>
      </c>
      <c r="D99" s="105" t="s">
        <v>69</v>
      </c>
      <c r="E99" s="52" t="s">
        <v>428</v>
      </c>
      <c r="F99" s="117" t="s">
        <v>658</v>
      </c>
      <c r="G99" s="165">
        <v>36091</v>
      </c>
      <c r="H99" s="165">
        <v>47069</v>
      </c>
      <c r="I99" s="165">
        <f>G99+H99</f>
        <v>83160</v>
      </c>
    </row>
    <row r="100" spans="1:9" ht="63">
      <c r="A100" s="53" t="s">
        <v>378</v>
      </c>
      <c r="B100" s="54" t="s">
        <v>377</v>
      </c>
      <c r="C100" s="54" t="s">
        <v>110</v>
      </c>
      <c r="D100" s="44" t="s">
        <v>108</v>
      </c>
      <c r="E100" s="116" t="s">
        <v>109</v>
      </c>
      <c r="F100" s="117" t="s">
        <v>618</v>
      </c>
      <c r="G100" s="165">
        <v>56352</v>
      </c>
      <c r="H100" s="165"/>
      <c r="I100" s="165">
        <f t="shared" si="4"/>
        <v>56352</v>
      </c>
    </row>
    <row r="101" spans="1:9" ht="15.75">
      <c r="A101" s="53" t="s">
        <v>379</v>
      </c>
      <c r="B101" s="58">
        <v>3240</v>
      </c>
      <c r="C101" s="54" t="s">
        <v>59</v>
      </c>
      <c r="D101" s="44"/>
      <c r="E101" s="116" t="s">
        <v>208</v>
      </c>
      <c r="F101" s="117"/>
      <c r="G101" s="165"/>
      <c r="H101" s="165"/>
      <c r="I101" s="165"/>
    </row>
    <row r="102" spans="1:9" ht="63">
      <c r="A102" s="53" t="s">
        <v>381</v>
      </c>
      <c r="B102" s="106">
        <v>3242</v>
      </c>
      <c r="C102" s="102" t="s">
        <v>59</v>
      </c>
      <c r="D102" s="105" t="s">
        <v>50</v>
      </c>
      <c r="E102" s="118" t="s">
        <v>380</v>
      </c>
      <c r="F102" s="117" t="s">
        <v>613</v>
      </c>
      <c r="G102" s="165">
        <f>1000000+500000+6400+13000+7200+2000+55000+100000+373527+113700+150000</f>
        <v>2320827</v>
      </c>
      <c r="H102" s="165"/>
      <c r="I102" s="165">
        <f>G102+H102</f>
        <v>2320827</v>
      </c>
    </row>
    <row r="103" spans="1:9" ht="94.5">
      <c r="A103" s="53" t="s">
        <v>381</v>
      </c>
      <c r="B103" s="106">
        <v>3242</v>
      </c>
      <c r="C103" s="102" t="s">
        <v>59</v>
      </c>
      <c r="D103" s="105" t="s">
        <v>50</v>
      </c>
      <c r="E103" s="118" t="s">
        <v>380</v>
      </c>
      <c r="F103" s="117" t="s">
        <v>658</v>
      </c>
      <c r="G103" s="165">
        <v>51000</v>
      </c>
      <c r="H103" s="165"/>
      <c r="I103" s="165">
        <f>G103+H103</f>
        <v>51000</v>
      </c>
    </row>
    <row r="104" spans="1:9" ht="30">
      <c r="A104" s="53" t="s">
        <v>474</v>
      </c>
      <c r="B104" s="58">
        <v>7320</v>
      </c>
      <c r="C104" s="102"/>
      <c r="D104" s="105"/>
      <c r="E104" s="51" t="s">
        <v>442</v>
      </c>
      <c r="F104" s="117"/>
      <c r="G104" s="165"/>
      <c r="H104" s="165"/>
      <c r="I104" s="165"/>
    </row>
    <row r="105" spans="1:9" ht="63">
      <c r="A105" s="53" t="s">
        <v>475</v>
      </c>
      <c r="B105" s="106">
        <v>7323</v>
      </c>
      <c r="C105" s="102"/>
      <c r="D105" s="105" t="s">
        <v>409</v>
      </c>
      <c r="E105" s="162" t="s">
        <v>476</v>
      </c>
      <c r="F105" s="117" t="s">
        <v>613</v>
      </c>
      <c r="G105" s="165"/>
      <c r="H105" s="165">
        <v>213390</v>
      </c>
      <c r="I105" s="165">
        <f>G105+H105</f>
        <v>213390</v>
      </c>
    </row>
    <row r="106" spans="1:9" ht="29.25">
      <c r="A106" s="267" t="s">
        <v>195</v>
      </c>
      <c r="B106" s="58"/>
      <c r="C106" s="58"/>
      <c r="D106" s="58"/>
      <c r="E106" s="264" t="s">
        <v>175</v>
      </c>
      <c r="F106" s="58"/>
      <c r="G106" s="166">
        <f>G107</f>
        <v>0</v>
      </c>
      <c r="H106" s="166">
        <f>H107</f>
        <v>600583</v>
      </c>
      <c r="I106" s="166">
        <f>I107</f>
        <v>600583</v>
      </c>
    </row>
    <row r="107" spans="1:9" ht="29.25">
      <c r="A107" s="267" t="s">
        <v>196</v>
      </c>
      <c r="B107" s="169"/>
      <c r="C107" s="169"/>
      <c r="D107" s="169"/>
      <c r="E107" s="264" t="s">
        <v>176</v>
      </c>
      <c r="F107" s="163"/>
      <c r="G107" s="166">
        <f>SUM(G108:G109)</f>
        <v>0</v>
      </c>
      <c r="H107" s="166">
        <f>SUM(H108:H109)</f>
        <v>600583</v>
      </c>
      <c r="I107" s="166">
        <f>G107+H107</f>
        <v>600583</v>
      </c>
    </row>
    <row r="108" spans="1:9" ht="30">
      <c r="A108" s="53" t="s">
        <v>602</v>
      </c>
      <c r="B108" s="58">
        <v>7320</v>
      </c>
      <c r="C108" s="102"/>
      <c r="D108" s="105"/>
      <c r="E108" s="51" t="s">
        <v>442</v>
      </c>
      <c r="F108" s="163"/>
      <c r="G108" s="169"/>
      <c r="H108" s="169"/>
      <c r="I108" s="169"/>
    </row>
    <row r="109" spans="1:9" ht="84.75" customHeight="1">
      <c r="A109" s="53" t="s">
        <v>601</v>
      </c>
      <c r="B109" s="106">
        <v>7323</v>
      </c>
      <c r="C109" s="102"/>
      <c r="D109" s="105" t="s">
        <v>409</v>
      </c>
      <c r="E109" s="159" t="s">
        <v>476</v>
      </c>
      <c r="F109" s="117" t="s">
        <v>659</v>
      </c>
      <c r="G109" s="165"/>
      <c r="H109" s="165">
        <f>126049+474534</f>
        <v>600583</v>
      </c>
      <c r="I109" s="165">
        <f>G109+H109</f>
        <v>600583</v>
      </c>
    </row>
    <row r="110" spans="1:9" ht="29.25">
      <c r="A110" s="267" t="s">
        <v>198</v>
      </c>
      <c r="B110" s="54"/>
      <c r="C110" s="54"/>
      <c r="D110" s="44"/>
      <c r="E110" s="309" t="s">
        <v>177</v>
      </c>
      <c r="F110" s="160"/>
      <c r="G110" s="166">
        <f>G111</f>
        <v>1000000</v>
      </c>
      <c r="H110" s="166">
        <f>H111</f>
        <v>2813191</v>
      </c>
      <c r="I110" s="166">
        <f>I111</f>
        <v>3813191</v>
      </c>
    </row>
    <row r="111" spans="1:9" ht="29.25">
      <c r="A111" s="267" t="s">
        <v>199</v>
      </c>
      <c r="B111" s="313"/>
      <c r="C111" s="58"/>
      <c r="D111" s="44"/>
      <c r="E111" s="309" t="s">
        <v>178</v>
      </c>
      <c r="F111" s="122"/>
      <c r="G111" s="166">
        <f>SUM(G112:G119)</f>
        <v>1000000</v>
      </c>
      <c r="H111" s="166">
        <f>SUM(H112:H119)</f>
        <v>2813191</v>
      </c>
      <c r="I111" s="166">
        <f>G111+H111</f>
        <v>3813191</v>
      </c>
    </row>
    <row r="112" spans="1:9" ht="63">
      <c r="A112" s="53" t="s">
        <v>216</v>
      </c>
      <c r="B112" s="58">
        <v>4030</v>
      </c>
      <c r="C112" s="58">
        <v>110201</v>
      </c>
      <c r="D112" s="44" t="s">
        <v>85</v>
      </c>
      <c r="E112" s="124" t="s">
        <v>217</v>
      </c>
      <c r="F112" s="117" t="s">
        <v>624</v>
      </c>
      <c r="G112" s="165"/>
      <c r="H112" s="165">
        <f>70000+7005+17730</f>
        <v>94735</v>
      </c>
      <c r="I112" s="165">
        <f>G112+H112</f>
        <v>94735</v>
      </c>
    </row>
    <row r="113" spans="1:9" ht="63">
      <c r="A113" s="53" t="s">
        <v>220</v>
      </c>
      <c r="B113" s="58">
        <v>4060</v>
      </c>
      <c r="C113" s="58">
        <v>110204</v>
      </c>
      <c r="D113" s="97" t="s">
        <v>86</v>
      </c>
      <c r="E113" s="92" t="s">
        <v>655</v>
      </c>
      <c r="F113" s="117" t="s">
        <v>624</v>
      </c>
      <c r="G113" s="165"/>
      <c r="H113" s="165">
        <f>1480966+122307+17730+182481-17730-38127</f>
        <v>1747627</v>
      </c>
      <c r="I113" s="165">
        <f>G113+H113</f>
        <v>1747627</v>
      </c>
    </row>
    <row r="114" spans="1:9" ht="30">
      <c r="A114" s="53" t="s">
        <v>221</v>
      </c>
      <c r="B114" s="58">
        <v>4080</v>
      </c>
      <c r="C114" s="58">
        <v>110502</v>
      </c>
      <c r="D114" s="97" t="s">
        <v>87</v>
      </c>
      <c r="E114" s="121" t="s">
        <v>222</v>
      </c>
      <c r="F114" s="117"/>
      <c r="G114" s="165"/>
      <c r="H114" s="165"/>
      <c r="I114" s="165"/>
    </row>
    <row r="115" spans="1:9" ht="63">
      <c r="A115" s="53" t="s">
        <v>385</v>
      </c>
      <c r="B115" s="106">
        <v>4081</v>
      </c>
      <c r="C115" s="106">
        <v>110502</v>
      </c>
      <c r="D115" s="110" t="s">
        <v>87</v>
      </c>
      <c r="E115" s="52" t="s">
        <v>656</v>
      </c>
      <c r="F115" s="117" t="s">
        <v>624</v>
      </c>
      <c r="G115" s="165"/>
      <c r="H115" s="165">
        <f>47572</f>
        <v>47572</v>
      </c>
      <c r="I115" s="165">
        <f aca="true" t="shared" si="5" ref="I115:I123">G115+H115</f>
        <v>47572</v>
      </c>
    </row>
    <row r="116" spans="1:9" ht="63">
      <c r="A116" s="53" t="s">
        <v>386</v>
      </c>
      <c r="B116" s="106">
        <v>4082</v>
      </c>
      <c r="C116" s="106">
        <v>110502</v>
      </c>
      <c r="D116" s="110" t="s">
        <v>87</v>
      </c>
      <c r="E116" s="167" t="s">
        <v>388</v>
      </c>
      <c r="F116" s="117" t="s">
        <v>624</v>
      </c>
      <c r="G116" s="165">
        <v>1000000</v>
      </c>
      <c r="H116" s="165"/>
      <c r="I116" s="165">
        <f t="shared" si="5"/>
        <v>1000000</v>
      </c>
    </row>
    <row r="117" spans="1:9" ht="30">
      <c r="A117" s="53" t="s">
        <v>456</v>
      </c>
      <c r="B117" s="58">
        <v>7320</v>
      </c>
      <c r="C117" s="106"/>
      <c r="D117" s="110"/>
      <c r="E117" s="51" t="s">
        <v>442</v>
      </c>
      <c r="F117" s="117"/>
      <c r="G117" s="165"/>
      <c r="H117" s="165"/>
      <c r="I117" s="165"/>
    </row>
    <row r="118" spans="1:9" ht="63">
      <c r="A118" s="53" t="s">
        <v>469</v>
      </c>
      <c r="B118" s="58">
        <v>7321</v>
      </c>
      <c r="C118" s="106"/>
      <c r="D118" s="110" t="s">
        <v>409</v>
      </c>
      <c r="E118" s="52" t="s">
        <v>443</v>
      </c>
      <c r="F118" s="117" t="s">
        <v>624</v>
      </c>
      <c r="G118" s="165"/>
      <c r="H118" s="165">
        <v>250000</v>
      </c>
      <c r="I118" s="165">
        <f t="shared" si="5"/>
        <v>250000</v>
      </c>
    </row>
    <row r="119" spans="1:9" ht="63">
      <c r="A119" s="53" t="s">
        <v>457</v>
      </c>
      <c r="B119" s="106">
        <v>7324</v>
      </c>
      <c r="C119" s="106"/>
      <c r="D119" s="110" t="s">
        <v>409</v>
      </c>
      <c r="E119" s="159" t="s">
        <v>458</v>
      </c>
      <c r="F119" s="117" t="s">
        <v>624</v>
      </c>
      <c r="G119" s="165"/>
      <c r="H119" s="165">
        <f>714277-41020</f>
        <v>673257</v>
      </c>
      <c r="I119" s="165">
        <f t="shared" si="5"/>
        <v>673257</v>
      </c>
    </row>
    <row r="120" spans="1:9" ht="29.25">
      <c r="A120" s="267">
        <v>3700000</v>
      </c>
      <c r="B120" s="313"/>
      <c r="C120" s="58"/>
      <c r="D120" s="44"/>
      <c r="E120" s="264" t="s">
        <v>181</v>
      </c>
      <c r="F120" s="117"/>
      <c r="G120" s="166">
        <f>G121</f>
        <v>1365000</v>
      </c>
      <c r="H120" s="166">
        <f>H121</f>
        <v>3182584</v>
      </c>
      <c r="I120" s="166">
        <f t="shared" si="5"/>
        <v>4547584</v>
      </c>
    </row>
    <row r="121" spans="1:9" ht="29.25">
      <c r="A121" s="267">
        <v>3710000</v>
      </c>
      <c r="B121" s="313"/>
      <c r="C121" s="58"/>
      <c r="D121" s="44"/>
      <c r="E121" s="264" t="s">
        <v>182</v>
      </c>
      <c r="F121" s="117"/>
      <c r="G121" s="166">
        <f>G122+G123</f>
        <v>1365000</v>
      </c>
      <c r="H121" s="166">
        <f>H122+H123</f>
        <v>3182584</v>
      </c>
      <c r="I121" s="166">
        <f t="shared" si="5"/>
        <v>4547584</v>
      </c>
    </row>
    <row r="122" spans="1:9" ht="47.25">
      <c r="A122" s="53">
        <v>3719770</v>
      </c>
      <c r="B122" s="58">
        <v>9770</v>
      </c>
      <c r="C122" s="58">
        <v>250380</v>
      </c>
      <c r="D122" s="44" t="s">
        <v>90</v>
      </c>
      <c r="E122" s="51" t="s">
        <v>187</v>
      </c>
      <c r="F122" s="117" t="s">
        <v>543</v>
      </c>
      <c r="G122" s="165">
        <f>2000000-1300000</f>
        <v>700000</v>
      </c>
      <c r="H122" s="165">
        <f>2582522+59062</f>
        <v>2641584</v>
      </c>
      <c r="I122" s="165">
        <f t="shared" si="5"/>
        <v>3341584</v>
      </c>
    </row>
    <row r="123" spans="1:9" ht="47.25">
      <c r="A123" s="53" t="s">
        <v>541</v>
      </c>
      <c r="B123" s="58">
        <v>9800</v>
      </c>
      <c r="C123" s="58"/>
      <c r="D123" s="44" t="s">
        <v>90</v>
      </c>
      <c r="E123" s="51" t="s">
        <v>542</v>
      </c>
      <c r="F123" s="117" t="s">
        <v>543</v>
      </c>
      <c r="G123" s="165">
        <f>615000+50000</f>
        <v>665000</v>
      </c>
      <c r="H123" s="165">
        <f>235000+130000+176000</f>
        <v>541000</v>
      </c>
      <c r="I123" s="165">
        <f t="shared" si="5"/>
        <v>1206000</v>
      </c>
    </row>
    <row r="124" spans="1:9" ht="15.75">
      <c r="A124" s="119"/>
      <c r="B124" s="117"/>
      <c r="C124" s="117"/>
      <c r="D124" s="119"/>
      <c r="E124" s="141" t="s">
        <v>38</v>
      </c>
      <c r="F124" s="314"/>
      <c r="G124" s="315">
        <f>G6+G56+G82+G111+G121+G107</f>
        <v>34894678</v>
      </c>
      <c r="H124" s="315">
        <f>H6+H56+H82+H111+H121+H107</f>
        <v>99490376</v>
      </c>
      <c r="I124" s="315">
        <f>H124+G124</f>
        <v>134385054</v>
      </c>
    </row>
    <row r="125" spans="1:9" ht="15.75">
      <c r="A125" s="316"/>
      <c r="B125" s="317"/>
      <c r="C125" s="317"/>
      <c r="D125" s="316"/>
      <c r="E125" s="318"/>
      <c r="F125" s="319"/>
      <c r="G125" s="320"/>
      <c r="H125" s="320"/>
      <c r="I125" s="320"/>
    </row>
    <row r="126" spans="1:9" ht="30" customHeight="1">
      <c r="A126" s="365" t="s">
        <v>348</v>
      </c>
      <c r="B126" s="365"/>
      <c r="C126" s="365"/>
      <c r="D126" s="365"/>
      <c r="E126" s="365"/>
      <c r="F126" s="365"/>
      <c r="G126" s="365"/>
      <c r="H126" s="365"/>
      <c r="I126" s="365"/>
    </row>
    <row r="127" spans="1:9" ht="13.5" customHeight="1">
      <c r="A127" s="277"/>
      <c r="B127" s="278"/>
      <c r="C127" s="278"/>
      <c r="D127" s="278"/>
      <c r="E127" s="278"/>
      <c r="F127" s="278"/>
      <c r="G127" s="278"/>
      <c r="H127" s="278"/>
      <c r="I127" s="278"/>
    </row>
    <row r="128" spans="1:9" s="324" customFormat="1" ht="15.75">
      <c r="A128" s="321" t="s">
        <v>155</v>
      </c>
      <c r="B128" s="322"/>
      <c r="C128" s="322"/>
      <c r="D128" s="322"/>
      <c r="E128" s="322"/>
      <c r="F128" s="323"/>
      <c r="G128" s="323"/>
      <c r="H128" s="322" t="s">
        <v>156</v>
      </c>
      <c r="I128" s="323"/>
    </row>
    <row r="130" spans="1:9" s="324" customFormat="1" ht="15.75">
      <c r="A130" s="325" t="s">
        <v>45</v>
      </c>
      <c r="C130" s="322"/>
      <c r="D130" s="322"/>
      <c r="E130" s="322"/>
      <c r="G130" s="322"/>
      <c r="H130" s="326" t="s">
        <v>157</v>
      </c>
      <c r="I130" s="322"/>
    </row>
    <row r="131" spans="1:9" s="324" customFormat="1" ht="15.75">
      <c r="A131" s="325"/>
      <c r="C131" s="322"/>
      <c r="D131" s="322"/>
      <c r="E131" s="322"/>
      <c r="G131" s="322"/>
      <c r="H131" s="326"/>
      <c r="I131" s="322"/>
    </row>
  </sheetData>
  <sheetProtection/>
  <mergeCells count="3">
    <mergeCell ref="A2:I2"/>
    <mergeCell ref="H1:I1"/>
    <mergeCell ref="A126:I126"/>
  </mergeCells>
  <printOptions/>
  <pageMargins left="1.1811023622047245" right="0.3937007874015748" top="0.1968503937007874" bottom="0.1968503937007874" header="0.35433070866141736" footer="0.35433070866141736"/>
  <pageSetup fitToHeight="4" fitToWidth="1" horizontalDpi="600" verticalDpi="600" orientation="portrait" paperSize="9" scale="46" r:id="rId1"/>
  <headerFooter alignWithMargins="0">
    <oddFooter>&amp;R&amp;P</oddFooter>
  </headerFooter>
  <rowBreaks count="7" manualBreakCount="7">
    <brk id="53" max="9" man="1"/>
    <brk id="55" max="8" man="1"/>
    <brk id="62" max="9" man="1"/>
    <brk id="226" max="8" man="1"/>
    <brk id="313" max="8" man="1"/>
    <brk id="650" max="8" man="1"/>
    <brk id="7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PageLayoutView="0" workbookViewId="0" topLeftCell="B37">
      <selection activeCell="B37" sqref="A1:IV16384"/>
    </sheetView>
  </sheetViews>
  <sheetFormatPr defaultColWidth="9.16015625" defaultRowHeight="12.75"/>
  <cols>
    <col min="1" max="1" width="3.83203125" style="282" hidden="1" customWidth="1"/>
    <col min="2" max="2" width="15.16015625" style="282" customWidth="1"/>
    <col min="3" max="3" width="14" style="282" customWidth="1"/>
    <col min="4" max="4" width="16" style="282" customWidth="1"/>
    <col min="5" max="5" width="48.5" style="282" customWidth="1"/>
    <col min="6" max="6" width="45" style="282" customWidth="1"/>
    <col min="7" max="10" width="21.16015625" style="282" customWidth="1"/>
    <col min="11" max="16384" width="9.16015625" style="142" customWidth="1"/>
  </cols>
  <sheetData>
    <row r="1" spans="7:10" ht="69.75" customHeight="1">
      <c r="G1" s="360"/>
      <c r="H1" s="360"/>
      <c r="I1" s="360" t="s">
        <v>451</v>
      </c>
      <c r="J1" s="360"/>
    </row>
    <row r="2" spans="2:10" ht="18" customHeight="1">
      <c r="B2" s="383" t="s">
        <v>450</v>
      </c>
      <c r="C2" s="383"/>
      <c r="D2" s="383"/>
      <c r="E2" s="383"/>
      <c r="F2" s="383"/>
      <c r="G2" s="383"/>
      <c r="H2" s="383"/>
      <c r="I2" s="383"/>
      <c r="J2" s="383"/>
    </row>
    <row r="3" spans="2:10" ht="15.75">
      <c r="B3" s="327"/>
      <c r="C3" s="328"/>
      <c r="D3" s="328"/>
      <c r="E3" s="328"/>
      <c r="F3" s="329"/>
      <c r="G3" s="329"/>
      <c r="H3" s="330"/>
      <c r="I3" s="329"/>
      <c r="J3" s="331" t="s">
        <v>61</v>
      </c>
    </row>
    <row r="4" spans="1:10" ht="107.25" customHeight="1">
      <c r="A4" s="138"/>
      <c r="B4" s="217" t="s">
        <v>102</v>
      </c>
      <c r="C4" s="217" t="s">
        <v>120</v>
      </c>
      <c r="D4" s="217" t="s">
        <v>121</v>
      </c>
      <c r="E4" s="217" t="s">
        <v>118</v>
      </c>
      <c r="F4" s="332" t="s">
        <v>444</v>
      </c>
      <c r="G4" s="332" t="s">
        <v>445</v>
      </c>
      <c r="H4" s="332" t="s">
        <v>446</v>
      </c>
      <c r="I4" s="332" t="s">
        <v>447</v>
      </c>
      <c r="J4" s="332" t="s">
        <v>448</v>
      </c>
    </row>
    <row r="5" spans="1:10" ht="31.5">
      <c r="A5" s="138"/>
      <c r="B5" s="333" t="s">
        <v>188</v>
      </c>
      <c r="C5" s="334"/>
      <c r="D5" s="335"/>
      <c r="E5" s="141" t="s">
        <v>503</v>
      </c>
      <c r="F5" s="141"/>
      <c r="G5" s="336">
        <f>G6</f>
        <v>2324798</v>
      </c>
      <c r="H5" s="336"/>
      <c r="I5" s="336"/>
      <c r="J5" s="336">
        <f>J6</f>
        <v>2324798</v>
      </c>
    </row>
    <row r="6" spans="1:10" ht="47.25">
      <c r="A6" s="138"/>
      <c r="B6" s="333" t="s">
        <v>189</v>
      </c>
      <c r="C6" s="206"/>
      <c r="D6" s="337"/>
      <c r="E6" s="141" t="s">
        <v>504</v>
      </c>
      <c r="F6" s="137"/>
      <c r="G6" s="146">
        <f>SUM(G7:G14)</f>
        <v>2324798</v>
      </c>
      <c r="H6" s="146"/>
      <c r="I6" s="146"/>
      <c r="J6" s="146">
        <f aca="true" t="shared" si="0" ref="J6:J11">G6</f>
        <v>2324798</v>
      </c>
    </row>
    <row r="7" spans="1:10" ht="110.25">
      <c r="A7" s="138"/>
      <c r="B7" s="153" t="s">
        <v>580</v>
      </c>
      <c r="C7" s="186" t="s">
        <v>581</v>
      </c>
      <c r="D7" s="187" t="s">
        <v>409</v>
      </c>
      <c r="E7" s="188" t="s">
        <v>582</v>
      </c>
      <c r="F7" s="117" t="s">
        <v>583</v>
      </c>
      <c r="G7" s="189">
        <f>300000</f>
        <v>300000</v>
      </c>
      <c r="H7" s="190"/>
      <c r="I7" s="190"/>
      <c r="J7" s="191">
        <f t="shared" si="0"/>
        <v>300000</v>
      </c>
    </row>
    <row r="8" spans="1:10" ht="78.75">
      <c r="A8" s="138"/>
      <c r="B8" s="153"/>
      <c r="C8" s="186" t="s">
        <v>581</v>
      </c>
      <c r="D8" s="187" t="s">
        <v>409</v>
      </c>
      <c r="E8" s="188" t="s">
        <v>582</v>
      </c>
      <c r="F8" s="117" t="s">
        <v>640</v>
      </c>
      <c r="G8" s="189">
        <v>65000</v>
      </c>
      <c r="H8" s="190"/>
      <c r="I8" s="190"/>
      <c r="J8" s="191">
        <f t="shared" si="0"/>
        <v>65000</v>
      </c>
    </row>
    <row r="9" spans="1:10" ht="78.75">
      <c r="A9" s="138"/>
      <c r="B9" s="153"/>
      <c r="C9" s="186" t="s">
        <v>581</v>
      </c>
      <c r="D9" s="187" t="s">
        <v>409</v>
      </c>
      <c r="E9" s="188" t="s">
        <v>582</v>
      </c>
      <c r="F9" s="117" t="s">
        <v>641</v>
      </c>
      <c r="G9" s="189">
        <v>90000</v>
      </c>
      <c r="H9" s="190"/>
      <c r="I9" s="190"/>
      <c r="J9" s="191">
        <f t="shared" si="0"/>
        <v>90000</v>
      </c>
    </row>
    <row r="10" spans="1:10" ht="78.75">
      <c r="A10" s="138"/>
      <c r="B10" s="153"/>
      <c r="C10" s="186" t="s">
        <v>581</v>
      </c>
      <c r="D10" s="187" t="s">
        <v>409</v>
      </c>
      <c r="E10" s="188" t="s">
        <v>582</v>
      </c>
      <c r="F10" s="117" t="s">
        <v>660</v>
      </c>
      <c r="G10" s="189">
        <v>11200</v>
      </c>
      <c r="H10" s="190"/>
      <c r="I10" s="190"/>
      <c r="J10" s="191">
        <f t="shared" si="0"/>
        <v>11200</v>
      </c>
    </row>
    <row r="11" spans="1:10" ht="78.75">
      <c r="A11" s="138"/>
      <c r="B11" s="153"/>
      <c r="C11" s="186" t="s">
        <v>581</v>
      </c>
      <c r="D11" s="187" t="s">
        <v>409</v>
      </c>
      <c r="E11" s="188" t="s">
        <v>582</v>
      </c>
      <c r="F11" s="117" t="s">
        <v>639</v>
      </c>
      <c r="G11" s="189">
        <v>100000</v>
      </c>
      <c r="H11" s="190"/>
      <c r="I11" s="190"/>
      <c r="J11" s="191">
        <f t="shared" si="0"/>
        <v>100000</v>
      </c>
    </row>
    <row r="12" spans="1:10" ht="15.75">
      <c r="A12" s="138"/>
      <c r="B12" s="53" t="s">
        <v>501</v>
      </c>
      <c r="C12" s="192">
        <v>7360</v>
      </c>
      <c r="D12" s="187"/>
      <c r="E12" s="193" t="s">
        <v>454</v>
      </c>
      <c r="F12" s="117"/>
      <c r="G12" s="189"/>
      <c r="H12" s="190"/>
      <c r="I12" s="190"/>
      <c r="J12" s="191"/>
    </row>
    <row r="13" spans="1:10" ht="63">
      <c r="A13" s="138"/>
      <c r="B13" s="53" t="s">
        <v>502</v>
      </c>
      <c r="C13" s="194">
        <v>7361</v>
      </c>
      <c r="D13" s="195" t="s">
        <v>42</v>
      </c>
      <c r="E13" s="196" t="s">
        <v>455</v>
      </c>
      <c r="F13" s="164" t="s">
        <v>486</v>
      </c>
      <c r="G13" s="151">
        <v>1142731</v>
      </c>
      <c r="H13" s="190"/>
      <c r="I13" s="190"/>
      <c r="J13" s="191">
        <f>G13</f>
        <v>1142731</v>
      </c>
    </row>
    <row r="14" spans="1:10" ht="45">
      <c r="A14" s="138"/>
      <c r="B14" s="53" t="s">
        <v>502</v>
      </c>
      <c r="C14" s="194">
        <v>7366</v>
      </c>
      <c r="D14" s="195" t="s">
        <v>42</v>
      </c>
      <c r="E14" s="196" t="s">
        <v>564</v>
      </c>
      <c r="F14" s="117" t="s">
        <v>661</v>
      </c>
      <c r="G14" s="151">
        <v>615867</v>
      </c>
      <c r="H14" s="190"/>
      <c r="I14" s="190"/>
      <c r="J14" s="191">
        <f>G14</f>
        <v>615867</v>
      </c>
    </row>
    <row r="15" spans="1:10" s="155" customFormat="1" ht="47.25">
      <c r="A15" s="156"/>
      <c r="B15" s="333" t="s">
        <v>190</v>
      </c>
      <c r="C15" s="186"/>
      <c r="D15" s="187"/>
      <c r="E15" s="141" t="s">
        <v>514</v>
      </c>
      <c r="F15" s="193"/>
      <c r="G15" s="191">
        <f>G16</f>
        <v>6120262</v>
      </c>
      <c r="H15" s="146"/>
      <c r="I15" s="146"/>
      <c r="J15" s="191">
        <f>J16</f>
        <v>6120262</v>
      </c>
    </row>
    <row r="16" spans="1:10" s="155" customFormat="1" ht="47.25">
      <c r="A16" s="156"/>
      <c r="B16" s="333" t="s">
        <v>353</v>
      </c>
      <c r="C16" s="190"/>
      <c r="D16" s="187"/>
      <c r="E16" s="141" t="s">
        <v>515</v>
      </c>
      <c r="F16" s="338"/>
      <c r="G16" s="191">
        <f>SUM(G18:G25)</f>
        <v>6120262</v>
      </c>
      <c r="H16" s="191"/>
      <c r="I16" s="191"/>
      <c r="J16" s="191">
        <f>SUM(J18:J25)</f>
        <v>6120262</v>
      </c>
    </row>
    <row r="17" spans="1:10" s="155" customFormat="1" ht="31.5">
      <c r="A17" s="156"/>
      <c r="B17" s="153" t="s">
        <v>441</v>
      </c>
      <c r="C17" s="197">
        <v>7320</v>
      </c>
      <c r="D17" s="197"/>
      <c r="E17" s="193" t="s">
        <v>442</v>
      </c>
      <c r="F17" s="193"/>
      <c r="G17" s="198"/>
      <c r="H17" s="198"/>
      <c r="I17" s="198"/>
      <c r="J17" s="198"/>
    </row>
    <row r="18" spans="1:10" s="155" customFormat="1" ht="126">
      <c r="A18" s="156"/>
      <c r="B18" s="153" t="s">
        <v>440</v>
      </c>
      <c r="C18" s="199">
        <v>7321</v>
      </c>
      <c r="D18" s="200" t="s">
        <v>409</v>
      </c>
      <c r="E18" s="201" t="s">
        <v>443</v>
      </c>
      <c r="F18" s="202" t="s">
        <v>449</v>
      </c>
      <c r="G18" s="198">
        <v>634657</v>
      </c>
      <c r="H18" s="191"/>
      <c r="I18" s="191"/>
      <c r="J18" s="191">
        <f aca="true" t="shared" si="1" ref="J18:J25">G18</f>
        <v>634657</v>
      </c>
    </row>
    <row r="19" spans="1:10" s="155" customFormat="1" ht="94.5">
      <c r="A19" s="156"/>
      <c r="B19" s="153" t="s">
        <v>440</v>
      </c>
      <c r="C19" s="199">
        <v>7321</v>
      </c>
      <c r="D19" s="200" t="s">
        <v>409</v>
      </c>
      <c r="E19" s="201" t="s">
        <v>443</v>
      </c>
      <c r="F19" s="202" t="s">
        <v>540</v>
      </c>
      <c r="G19" s="198">
        <v>556570</v>
      </c>
      <c r="H19" s="191"/>
      <c r="I19" s="191"/>
      <c r="J19" s="191">
        <f t="shared" si="1"/>
        <v>556570</v>
      </c>
    </row>
    <row r="20" spans="1:10" s="155" customFormat="1" ht="78.75">
      <c r="A20" s="156"/>
      <c r="B20" s="153" t="s">
        <v>440</v>
      </c>
      <c r="C20" s="199">
        <v>7321</v>
      </c>
      <c r="D20" s="200" t="s">
        <v>409</v>
      </c>
      <c r="E20" s="201" t="s">
        <v>443</v>
      </c>
      <c r="F20" s="193" t="s">
        <v>528</v>
      </c>
      <c r="G20" s="203">
        <v>456603</v>
      </c>
      <c r="H20" s="204"/>
      <c r="I20" s="204"/>
      <c r="J20" s="191">
        <f t="shared" si="1"/>
        <v>456603</v>
      </c>
    </row>
    <row r="21" spans="1:10" s="155" customFormat="1" ht="157.5">
      <c r="A21" s="156"/>
      <c r="B21" s="153" t="s">
        <v>440</v>
      </c>
      <c r="C21" s="199">
        <v>7321</v>
      </c>
      <c r="D21" s="200" t="s">
        <v>409</v>
      </c>
      <c r="E21" s="201" t="s">
        <v>443</v>
      </c>
      <c r="F21" s="193" t="s">
        <v>544</v>
      </c>
      <c r="G21" s="203">
        <f>523179-279349</f>
        <v>243830</v>
      </c>
      <c r="H21" s="204"/>
      <c r="I21" s="204"/>
      <c r="J21" s="191">
        <f t="shared" si="1"/>
        <v>243830</v>
      </c>
    </row>
    <row r="22" spans="1:10" s="155" customFormat="1" ht="189">
      <c r="A22" s="156"/>
      <c r="B22" s="153" t="s">
        <v>440</v>
      </c>
      <c r="C22" s="199">
        <v>7321</v>
      </c>
      <c r="D22" s="200" t="s">
        <v>409</v>
      </c>
      <c r="E22" s="201" t="s">
        <v>443</v>
      </c>
      <c r="F22" s="193" t="s">
        <v>545</v>
      </c>
      <c r="G22" s="203">
        <v>63951</v>
      </c>
      <c r="H22" s="204"/>
      <c r="I22" s="204"/>
      <c r="J22" s="191">
        <f t="shared" si="1"/>
        <v>63951</v>
      </c>
    </row>
    <row r="23" spans="1:10" s="155" customFormat="1" ht="173.25">
      <c r="A23" s="156"/>
      <c r="B23" s="153" t="s">
        <v>440</v>
      </c>
      <c r="C23" s="199">
        <v>7321</v>
      </c>
      <c r="D23" s="200" t="s">
        <v>409</v>
      </c>
      <c r="E23" s="201" t="s">
        <v>443</v>
      </c>
      <c r="F23" s="193" t="s">
        <v>546</v>
      </c>
      <c r="G23" s="203">
        <v>1498904</v>
      </c>
      <c r="H23" s="204"/>
      <c r="I23" s="204"/>
      <c r="J23" s="191">
        <f t="shared" si="1"/>
        <v>1498904</v>
      </c>
    </row>
    <row r="24" spans="1:10" s="155" customFormat="1" ht="63">
      <c r="A24" s="156"/>
      <c r="B24" s="153"/>
      <c r="C24" s="194">
        <v>7325</v>
      </c>
      <c r="D24" s="200" t="s">
        <v>409</v>
      </c>
      <c r="E24" s="196" t="s">
        <v>568</v>
      </c>
      <c r="F24" s="193" t="s">
        <v>569</v>
      </c>
      <c r="G24" s="203">
        <v>723312</v>
      </c>
      <c r="H24" s="204"/>
      <c r="I24" s="204"/>
      <c r="J24" s="191">
        <f>G24</f>
        <v>723312</v>
      </c>
    </row>
    <row r="25" spans="1:10" s="155" customFormat="1" ht="63">
      <c r="A25" s="156"/>
      <c r="B25" s="53" t="s">
        <v>565</v>
      </c>
      <c r="C25" s="194">
        <v>7325</v>
      </c>
      <c r="D25" s="200" t="s">
        <v>409</v>
      </c>
      <c r="E25" s="196" t="s">
        <v>564</v>
      </c>
      <c r="F25" s="149" t="s">
        <v>566</v>
      </c>
      <c r="G25" s="203">
        <v>1942435</v>
      </c>
      <c r="H25" s="204"/>
      <c r="I25" s="204"/>
      <c r="J25" s="191">
        <f t="shared" si="1"/>
        <v>1942435</v>
      </c>
    </row>
    <row r="26" spans="1:10" s="155" customFormat="1" ht="47.25">
      <c r="A26" s="156"/>
      <c r="B26" s="339" t="s">
        <v>192</v>
      </c>
      <c r="C26" s="186"/>
      <c r="D26" s="186"/>
      <c r="E26" s="141" t="s">
        <v>516</v>
      </c>
      <c r="F26" s="193"/>
      <c r="G26" s="191">
        <f>G27</f>
        <v>213390</v>
      </c>
      <c r="H26" s="146"/>
      <c r="I26" s="146"/>
      <c r="J26" s="191">
        <f>J27</f>
        <v>2938396</v>
      </c>
    </row>
    <row r="27" spans="1:10" s="155" customFormat="1" ht="47.25">
      <c r="A27" s="156"/>
      <c r="B27" s="339" t="s">
        <v>193</v>
      </c>
      <c r="C27" s="340"/>
      <c r="D27" s="197"/>
      <c r="E27" s="141" t="s">
        <v>517</v>
      </c>
      <c r="F27" s="338"/>
      <c r="G27" s="191">
        <f>SUM(G28:G29)</f>
        <v>213390</v>
      </c>
      <c r="H27" s="191"/>
      <c r="I27" s="191"/>
      <c r="J27" s="191">
        <f>SUM(J29:J34)</f>
        <v>2938396</v>
      </c>
    </row>
    <row r="28" spans="1:10" s="155" customFormat="1" ht="31.5">
      <c r="A28" s="156"/>
      <c r="B28" s="153" t="s">
        <v>474</v>
      </c>
      <c r="C28" s="197">
        <v>7320</v>
      </c>
      <c r="D28" s="197"/>
      <c r="E28" s="193" t="s">
        <v>442</v>
      </c>
      <c r="F28" s="193"/>
      <c r="G28" s="203"/>
      <c r="H28" s="204"/>
      <c r="I28" s="204"/>
      <c r="J28" s="204"/>
    </row>
    <row r="29" spans="1:10" s="155" customFormat="1" ht="94.5">
      <c r="A29" s="156"/>
      <c r="B29" s="153" t="s">
        <v>475</v>
      </c>
      <c r="C29" s="199">
        <v>7323</v>
      </c>
      <c r="D29" s="200" t="s">
        <v>409</v>
      </c>
      <c r="E29" s="205" t="s">
        <v>476</v>
      </c>
      <c r="F29" s="193" t="s">
        <v>477</v>
      </c>
      <c r="G29" s="198">
        <v>213390</v>
      </c>
      <c r="H29" s="204"/>
      <c r="I29" s="204"/>
      <c r="J29" s="191">
        <f>G29</f>
        <v>213390</v>
      </c>
    </row>
    <row r="30" spans="1:10" s="155" customFormat="1" ht="31.5">
      <c r="A30" s="156"/>
      <c r="B30" s="339" t="s">
        <v>195</v>
      </c>
      <c r="C30" s="186"/>
      <c r="D30" s="186"/>
      <c r="E30" s="141" t="s">
        <v>507</v>
      </c>
      <c r="F30" s="193"/>
      <c r="G30" s="191">
        <f>G31</f>
        <v>600583</v>
      </c>
      <c r="H30" s="204"/>
      <c r="I30" s="204"/>
      <c r="J30" s="191">
        <f>J31</f>
        <v>600583</v>
      </c>
    </row>
    <row r="31" spans="1:10" s="155" customFormat="1" ht="47.25">
      <c r="A31" s="156"/>
      <c r="B31" s="339" t="s">
        <v>196</v>
      </c>
      <c r="C31" s="340"/>
      <c r="D31" s="197"/>
      <c r="E31" s="141" t="s">
        <v>508</v>
      </c>
      <c r="F31" s="193"/>
      <c r="G31" s="191">
        <f>G33</f>
        <v>600583</v>
      </c>
      <c r="H31" s="204"/>
      <c r="I31" s="204"/>
      <c r="J31" s="191">
        <f>J33</f>
        <v>600583</v>
      </c>
    </row>
    <row r="32" spans="1:10" s="155" customFormat="1" ht="30">
      <c r="A32" s="156"/>
      <c r="B32" s="53" t="s">
        <v>602</v>
      </c>
      <c r="C32" s="192">
        <v>7320</v>
      </c>
      <c r="D32" s="206"/>
      <c r="E32" s="161" t="s">
        <v>442</v>
      </c>
      <c r="F32" s="117"/>
      <c r="G32" s="203"/>
      <c r="H32" s="204"/>
      <c r="I32" s="204"/>
      <c r="J32" s="191"/>
    </row>
    <row r="33" spans="1:10" s="155" customFormat="1" ht="94.5">
      <c r="A33" s="156"/>
      <c r="B33" s="53" t="s">
        <v>601</v>
      </c>
      <c r="C33" s="194">
        <v>7323</v>
      </c>
      <c r="D33" s="200" t="s">
        <v>409</v>
      </c>
      <c r="E33" s="162" t="s">
        <v>476</v>
      </c>
      <c r="F33" s="164" t="s">
        <v>495</v>
      </c>
      <c r="G33" s="198">
        <f>126049+474534</f>
        <v>600583</v>
      </c>
      <c r="H33" s="204"/>
      <c r="I33" s="204"/>
      <c r="J33" s="146">
        <v>600583</v>
      </c>
    </row>
    <row r="34" spans="1:10" s="155" customFormat="1" ht="47.25">
      <c r="A34" s="156"/>
      <c r="B34" s="339" t="s">
        <v>198</v>
      </c>
      <c r="C34" s="186"/>
      <c r="D34" s="186"/>
      <c r="E34" s="141" t="s">
        <v>509</v>
      </c>
      <c r="F34" s="193"/>
      <c r="G34" s="191">
        <f>G35</f>
        <v>923257</v>
      </c>
      <c r="H34" s="146"/>
      <c r="I34" s="146"/>
      <c r="J34" s="191">
        <f>J35</f>
        <v>923257</v>
      </c>
    </row>
    <row r="35" spans="1:10" s="155" customFormat="1" ht="47.25">
      <c r="A35" s="156"/>
      <c r="B35" s="339" t="s">
        <v>199</v>
      </c>
      <c r="C35" s="340"/>
      <c r="D35" s="197"/>
      <c r="E35" s="141" t="s">
        <v>510</v>
      </c>
      <c r="F35" s="338"/>
      <c r="G35" s="191">
        <f>SUM(G37:G38)</f>
        <v>923257</v>
      </c>
      <c r="H35" s="198"/>
      <c r="I35" s="198"/>
      <c r="J35" s="191">
        <f>SUM(J37:J38)</f>
        <v>923257</v>
      </c>
    </row>
    <row r="36" spans="1:10" s="155" customFormat="1" ht="31.5">
      <c r="A36" s="156"/>
      <c r="B36" s="153" t="s">
        <v>456</v>
      </c>
      <c r="C36" s="197">
        <v>7320</v>
      </c>
      <c r="D36" s="186"/>
      <c r="E36" s="193" t="s">
        <v>442</v>
      </c>
      <c r="F36" s="193"/>
      <c r="G36" s="203"/>
      <c r="H36" s="204"/>
      <c r="I36" s="204"/>
      <c r="J36" s="204"/>
    </row>
    <row r="37" spans="1:10" s="155" customFormat="1" ht="126">
      <c r="A37" s="156"/>
      <c r="B37" s="153" t="s">
        <v>469</v>
      </c>
      <c r="C37" s="197">
        <v>7321</v>
      </c>
      <c r="D37" s="207" t="s">
        <v>409</v>
      </c>
      <c r="E37" s="201" t="s">
        <v>443</v>
      </c>
      <c r="F37" s="193" t="s">
        <v>470</v>
      </c>
      <c r="G37" s="203">
        <v>250000</v>
      </c>
      <c r="H37" s="204"/>
      <c r="I37" s="204"/>
      <c r="J37" s="191">
        <f>G37</f>
        <v>250000</v>
      </c>
    </row>
    <row r="38" spans="1:10" s="155" customFormat="1" ht="47.25">
      <c r="A38" s="156"/>
      <c r="B38" s="153" t="s">
        <v>457</v>
      </c>
      <c r="C38" s="199">
        <v>7324</v>
      </c>
      <c r="D38" s="207" t="s">
        <v>409</v>
      </c>
      <c r="E38" s="205" t="s">
        <v>458</v>
      </c>
      <c r="F38" s="193" t="s">
        <v>471</v>
      </c>
      <c r="G38" s="203">
        <f>714277-41020</f>
        <v>673257</v>
      </c>
      <c r="H38" s="204"/>
      <c r="I38" s="204"/>
      <c r="J38" s="191">
        <f>G38</f>
        <v>673257</v>
      </c>
    </row>
    <row r="39" spans="2:10" ht="15.75">
      <c r="B39" s="341"/>
      <c r="C39" s="189"/>
      <c r="D39" s="187"/>
      <c r="E39" s="342" t="s">
        <v>38</v>
      </c>
      <c r="F39" s="343"/>
      <c r="G39" s="208">
        <f>G5+G15+G26+G30+G34</f>
        <v>10182290</v>
      </c>
      <c r="H39" s="344"/>
      <c r="I39" s="344"/>
      <c r="J39" s="204">
        <f>G39</f>
        <v>10182290</v>
      </c>
    </row>
    <row r="40" spans="2:10" ht="20.25" customHeight="1">
      <c r="B40" s="345"/>
      <c r="C40" s="345"/>
      <c r="D40" s="346"/>
      <c r="E40" s="347"/>
      <c r="F40" s="348"/>
      <c r="G40" s="348"/>
      <c r="H40" s="348"/>
      <c r="I40" s="348"/>
      <c r="J40" s="349"/>
    </row>
    <row r="41" spans="2:10" ht="15.75">
      <c r="B41" s="365" t="s">
        <v>459</v>
      </c>
      <c r="C41" s="365"/>
      <c r="D41" s="365"/>
      <c r="E41" s="365"/>
      <c r="F41" s="365"/>
      <c r="G41" s="365"/>
      <c r="H41" s="365"/>
      <c r="I41" s="365"/>
      <c r="J41" s="365"/>
    </row>
    <row r="42" spans="2:10" ht="15.75">
      <c r="B42" s="278"/>
      <c r="C42" s="278"/>
      <c r="D42" s="278"/>
      <c r="E42" s="278"/>
      <c r="F42" s="278"/>
      <c r="G42" s="278"/>
      <c r="H42" s="278"/>
      <c r="I42" s="278"/>
      <c r="J42" s="278"/>
    </row>
    <row r="43" spans="2:9" ht="15.75">
      <c r="B43" s="282" t="s">
        <v>155</v>
      </c>
      <c r="I43" s="282" t="s">
        <v>156</v>
      </c>
    </row>
    <row r="45" spans="2:9" ht="15.75">
      <c r="B45" s="145" t="s">
        <v>45</v>
      </c>
      <c r="C45" s="245"/>
      <c r="D45" s="245"/>
      <c r="E45" s="245"/>
      <c r="I45" s="247" t="s">
        <v>157</v>
      </c>
    </row>
  </sheetData>
  <sheetProtection/>
  <mergeCells count="4">
    <mergeCell ref="G1:H1"/>
    <mergeCell ref="I1:J1"/>
    <mergeCell ref="B2:J2"/>
    <mergeCell ref="B41:J41"/>
  </mergeCells>
  <printOptions/>
  <pageMargins left="1.1811023622047245" right="0.787401574803149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tabSelected="1" view="pageBreakPreview" zoomScaleSheetLayoutView="100" zoomScalePageLayoutView="0" workbookViewId="0" topLeftCell="B3">
      <selection activeCell="F5" sqref="F5"/>
    </sheetView>
  </sheetViews>
  <sheetFormatPr defaultColWidth="9.16015625" defaultRowHeight="12.75"/>
  <cols>
    <col min="1" max="1" width="3.83203125" style="211" hidden="1" customWidth="1"/>
    <col min="2" max="2" width="15.16015625" style="211" customWidth="1"/>
    <col min="3" max="3" width="14" style="211" customWidth="1"/>
    <col min="4" max="4" width="16" style="211" customWidth="1"/>
    <col min="5" max="5" width="61" style="211" customWidth="1"/>
    <col min="6" max="6" width="81.66015625" style="211" customWidth="1"/>
    <col min="7" max="7" width="43.33203125" style="211" customWidth="1"/>
    <col min="8" max="16384" width="9.16015625" style="67" customWidth="1"/>
  </cols>
  <sheetData>
    <row r="1" ht="105.75" customHeight="1">
      <c r="G1" s="212" t="s">
        <v>484</v>
      </c>
    </row>
    <row r="2" spans="2:7" ht="74.25" customHeight="1">
      <c r="B2" s="370" t="s">
        <v>512</v>
      </c>
      <c r="C2" s="371"/>
      <c r="D2" s="371"/>
      <c r="E2" s="371"/>
      <c r="F2" s="371"/>
      <c r="G2" s="371"/>
    </row>
    <row r="3" spans="2:7" ht="18.75">
      <c r="B3" s="350"/>
      <c r="C3" s="351"/>
      <c r="D3" s="351"/>
      <c r="E3" s="351"/>
      <c r="F3" s="351"/>
      <c r="G3" s="351" t="s">
        <v>61</v>
      </c>
    </row>
    <row r="4" spans="1:7" ht="107.25" customHeight="1">
      <c r="A4" s="136"/>
      <c r="B4" s="217" t="s">
        <v>102</v>
      </c>
      <c r="C4" s="217" t="s">
        <v>120</v>
      </c>
      <c r="D4" s="217" t="s">
        <v>121</v>
      </c>
      <c r="E4" s="217" t="s">
        <v>118</v>
      </c>
      <c r="F4" s="332" t="s">
        <v>485</v>
      </c>
      <c r="G4" s="332" t="s">
        <v>500</v>
      </c>
    </row>
    <row r="5" spans="1:7" ht="31.5" customHeight="1">
      <c r="A5" s="136"/>
      <c r="B5" s="140" t="s">
        <v>188</v>
      </c>
      <c r="C5" s="352"/>
      <c r="D5" s="352"/>
      <c r="E5" s="141" t="s">
        <v>503</v>
      </c>
      <c r="F5" s="141"/>
      <c r="G5" s="336">
        <f>G6</f>
        <v>7187663</v>
      </c>
    </row>
    <row r="6" spans="1:7" ht="36.75" customHeight="1">
      <c r="A6" s="136"/>
      <c r="B6" s="140" t="s">
        <v>189</v>
      </c>
      <c r="C6" s="139"/>
      <c r="D6" s="140"/>
      <c r="E6" s="141" t="s">
        <v>504</v>
      </c>
      <c r="F6" s="137"/>
      <c r="G6" s="146">
        <f>SUM(G8:G18)</f>
        <v>7187663</v>
      </c>
    </row>
    <row r="7" spans="1:7" s="145" customFormat="1" ht="27" customHeight="1">
      <c r="A7" s="143"/>
      <c r="B7" s="140" t="s">
        <v>501</v>
      </c>
      <c r="C7" s="144">
        <v>7360</v>
      </c>
      <c r="D7" s="140"/>
      <c r="E7" s="141" t="s">
        <v>454</v>
      </c>
      <c r="F7" s="137"/>
      <c r="G7" s="146"/>
    </row>
    <row r="8" spans="1:7" s="142" customFormat="1" ht="58.5" customHeight="1">
      <c r="A8" s="138"/>
      <c r="B8" s="140" t="s">
        <v>502</v>
      </c>
      <c r="C8" s="139">
        <v>7361</v>
      </c>
      <c r="D8" s="119" t="s">
        <v>42</v>
      </c>
      <c r="E8" s="117" t="s">
        <v>455</v>
      </c>
      <c r="F8" s="164" t="s">
        <v>486</v>
      </c>
      <c r="G8" s="146">
        <v>1142731</v>
      </c>
    </row>
    <row r="9" spans="1:7" s="142" customFormat="1" ht="50.25" customHeight="1">
      <c r="A9" s="138"/>
      <c r="B9" s="140" t="s">
        <v>502</v>
      </c>
      <c r="C9" s="139">
        <v>7361</v>
      </c>
      <c r="D9" s="119" t="s">
        <v>42</v>
      </c>
      <c r="E9" s="117" t="s">
        <v>455</v>
      </c>
      <c r="F9" s="164" t="s">
        <v>487</v>
      </c>
      <c r="G9" s="146">
        <f>1176893+1545575</f>
        <v>2722468</v>
      </c>
    </row>
    <row r="10" spans="1:7" s="142" customFormat="1" ht="57.75" customHeight="1" hidden="1">
      <c r="A10" s="138"/>
      <c r="B10" s="140" t="s">
        <v>502</v>
      </c>
      <c r="C10" s="139">
        <v>7361</v>
      </c>
      <c r="D10" s="119" t="s">
        <v>42</v>
      </c>
      <c r="E10" s="117" t="s">
        <v>455</v>
      </c>
      <c r="F10" s="164" t="s">
        <v>488</v>
      </c>
      <c r="G10" s="146">
        <f>984094-984094</f>
        <v>0</v>
      </c>
    </row>
    <row r="11" spans="1:7" s="142" customFormat="1" ht="57" customHeight="1" hidden="1">
      <c r="A11" s="138"/>
      <c r="B11" s="140" t="s">
        <v>502</v>
      </c>
      <c r="C11" s="139">
        <v>7361</v>
      </c>
      <c r="D11" s="119" t="s">
        <v>42</v>
      </c>
      <c r="E11" s="117" t="s">
        <v>455</v>
      </c>
      <c r="F11" s="164" t="s">
        <v>489</v>
      </c>
      <c r="G11" s="146">
        <f>352468-352468</f>
        <v>0</v>
      </c>
    </row>
    <row r="12" spans="1:7" s="142" customFormat="1" ht="57.75" customHeight="1" hidden="1">
      <c r="A12" s="138"/>
      <c r="B12" s="140" t="s">
        <v>502</v>
      </c>
      <c r="C12" s="139">
        <v>7361</v>
      </c>
      <c r="D12" s="119" t="s">
        <v>42</v>
      </c>
      <c r="E12" s="117" t="s">
        <v>455</v>
      </c>
      <c r="F12" s="164" t="s">
        <v>490</v>
      </c>
      <c r="G12" s="146">
        <f>339800-339800</f>
        <v>0</v>
      </c>
    </row>
    <row r="13" spans="1:7" s="142" customFormat="1" ht="60" customHeight="1" hidden="1">
      <c r="A13" s="138"/>
      <c r="B13" s="140" t="s">
        <v>502</v>
      </c>
      <c r="C13" s="139">
        <v>7361</v>
      </c>
      <c r="D13" s="119" t="s">
        <v>42</v>
      </c>
      <c r="E13" s="117" t="s">
        <v>455</v>
      </c>
      <c r="F13" s="164" t="s">
        <v>491</v>
      </c>
      <c r="G13" s="146">
        <f>165747-165747</f>
        <v>0</v>
      </c>
    </row>
    <row r="14" spans="1:7" s="142" customFormat="1" ht="57" customHeight="1" hidden="1">
      <c r="A14" s="138"/>
      <c r="B14" s="140" t="s">
        <v>502</v>
      </c>
      <c r="C14" s="139">
        <v>7361</v>
      </c>
      <c r="D14" s="119" t="s">
        <v>42</v>
      </c>
      <c r="E14" s="117" t="s">
        <v>455</v>
      </c>
      <c r="F14" s="164" t="s">
        <v>492</v>
      </c>
      <c r="G14" s="146">
        <f>514142-514142</f>
        <v>0</v>
      </c>
    </row>
    <row r="15" spans="1:7" s="142" customFormat="1" ht="57.75" customHeight="1">
      <c r="A15" s="138"/>
      <c r="B15" s="140" t="s">
        <v>502</v>
      </c>
      <c r="C15" s="139">
        <v>7361</v>
      </c>
      <c r="D15" s="119" t="s">
        <v>42</v>
      </c>
      <c r="E15" s="117" t="s">
        <v>455</v>
      </c>
      <c r="F15" s="164" t="s">
        <v>493</v>
      </c>
      <c r="G15" s="146">
        <v>1054905</v>
      </c>
    </row>
    <row r="16" spans="1:7" s="142" customFormat="1" ht="57.75" customHeight="1">
      <c r="A16" s="138"/>
      <c r="B16" s="140" t="s">
        <v>502</v>
      </c>
      <c r="C16" s="139">
        <v>7361</v>
      </c>
      <c r="D16" s="119" t="s">
        <v>42</v>
      </c>
      <c r="E16" s="117" t="s">
        <v>455</v>
      </c>
      <c r="F16" s="164" t="s">
        <v>494</v>
      </c>
      <c r="G16" s="146">
        <v>2267559</v>
      </c>
    </row>
    <row r="17" spans="1:7" s="142" customFormat="1" ht="67.5" customHeight="1" hidden="1">
      <c r="A17" s="138"/>
      <c r="B17" s="140" t="s">
        <v>502</v>
      </c>
      <c r="C17" s="139">
        <v>7361</v>
      </c>
      <c r="D17" s="119" t="s">
        <v>42</v>
      </c>
      <c r="E17" s="117" t="s">
        <v>455</v>
      </c>
      <c r="F17" s="164" t="s">
        <v>496</v>
      </c>
      <c r="G17" s="146"/>
    </row>
    <row r="18" spans="1:7" s="142" customFormat="1" ht="60.75" customHeight="1" hidden="1">
      <c r="A18" s="138"/>
      <c r="B18" s="140" t="s">
        <v>502</v>
      </c>
      <c r="C18" s="139">
        <v>7361</v>
      </c>
      <c r="D18" s="119" t="s">
        <v>42</v>
      </c>
      <c r="E18" s="117" t="s">
        <v>455</v>
      </c>
      <c r="F18" s="117" t="s">
        <v>497</v>
      </c>
      <c r="G18" s="146"/>
    </row>
    <row r="19" spans="1:7" s="354" customFormat="1" ht="49.5" customHeight="1">
      <c r="A19" s="353"/>
      <c r="B19" s="140" t="s">
        <v>190</v>
      </c>
      <c r="C19" s="147"/>
      <c r="D19" s="140"/>
      <c r="E19" s="141" t="s">
        <v>505</v>
      </c>
      <c r="F19" s="141"/>
      <c r="G19" s="146">
        <f>G20</f>
        <v>2691777</v>
      </c>
    </row>
    <row r="20" spans="1:7" s="354" customFormat="1" ht="51" customHeight="1">
      <c r="A20" s="353"/>
      <c r="B20" s="140" t="s">
        <v>353</v>
      </c>
      <c r="C20" s="141"/>
      <c r="D20" s="140"/>
      <c r="E20" s="141" t="s">
        <v>506</v>
      </c>
      <c r="F20" s="137"/>
      <c r="G20" s="146">
        <f>G21</f>
        <v>2691777</v>
      </c>
    </row>
    <row r="21" spans="1:7" s="354" customFormat="1" ht="25.5" customHeight="1">
      <c r="A21" s="353"/>
      <c r="B21" s="147" t="s">
        <v>452</v>
      </c>
      <c r="C21" s="144">
        <v>7360</v>
      </c>
      <c r="D21" s="140"/>
      <c r="E21" s="141" t="s">
        <v>454</v>
      </c>
      <c r="F21" s="141"/>
      <c r="G21" s="146">
        <f>G22+G23</f>
        <v>2691777</v>
      </c>
    </row>
    <row r="22" spans="1:7" s="356" customFormat="1" ht="56.25" customHeight="1">
      <c r="A22" s="355"/>
      <c r="B22" s="148" t="s">
        <v>453</v>
      </c>
      <c r="C22" s="139">
        <v>7361</v>
      </c>
      <c r="D22" s="119" t="s">
        <v>42</v>
      </c>
      <c r="E22" s="117" t="s">
        <v>455</v>
      </c>
      <c r="F22" s="149" t="s">
        <v>520</v>
      </c>
      <c r="G22" s="150">
        <v>1290145</v>
      </c>
    </row>
    <row r="23" spans="1:7" s="356" customFormat="1" ht="57.75" customHeight="1">
      <c r="A23" s="355"/>
      <c r="B23" s="148" t="s">
        <v>453</v>
      </c>
      <c r="C23" s="139">
        <v>7361</v>
      </c>
      <c r="D23" s="119" t="s">
        <v>42</v>
      </c>
      <c r="E23" s="117" t="s">
        <v>455</v>
      </c>
      <c r="F23" s="149" t="s">
        <v>519</v>
      </c>
      <c r="G23" s="150">
        <v>1401632</v>
      </c>
    </row>
    <row r="24" spans="1:7" s="356" customFormat="1" ht="42.75" customHeight="1" hidden="1">
      <c r="A24" s="355"/>
      <c r="B24" s="147" t="s">
        <v>195</v>
      </c>
      <c r="C24" s="148"/>
      <c r="D24" s="148"/>
      <c r="E24" s="141" t="s">
        <v>507</v>
      </c>
      <c r="F24" s="117"/>
      <c r="G24" s="146">
        <f>G25</f>
        <v>0</v>
      </c>
    </row>
    <row r="25" spans="1:7" s="356" customFormat="1" ht="41.25" customHeight="1" hidden="1">
      <c r="A25" s="355"/>
      <c r="B25" s="147" t="s">
        <v>196</v>
      </c>
      <c r="C25" s="144"/>
      <c r="D25" s="139"/>
      <c r="E25" s="141" t="s">
        <v>508</v>
      </c>
      <c r="F25" s="122"/>
      <c r="G25" s="151">
        <f>G27</f>
        <v>0</v>
      </c>
    </row>
    <row r="26" spans="1:7" s="356" customFormat="1" ht="35.25" customHeight="1" hidden="1">
      <c r="A26" s="355"/>
      <c r="B26" s="148" t="s">
        <v>499</v>
      </c>
      <c r="C26" s="139">
        <v>7360</v>
      </c>
      <c r="D26" s="140"/>
      <c r="E26" s="141" t="s">
        <v>454</v>
      </c>
      <c r="F26" s="117"/>
      <c r="G26" s="151"/>
    </row>
    <row r="27" spans="1:7" ht="59.25" customHeight="1" hidden="1">
      <c r="A27" s="136"/>
      <c r="B27" s="148" t="s">
        <v>498</v>
      </c>
      <c r="C27" s="139">
        <v>7361</v>
      </c>
      <c r="D27" s="119" t="s">
        <v>42</v>
      </c>
      <c r="E27" s="117" t="s">
        <v>455</v>
      </c>
      <c r="F27" s="164" t="s">
        <v>495</v>
      </c>
      <c r="G27" s="146">
        <f>126049-126049</f>
        <v>0</v>
      </c>
    </row>
    <row r="28" spans="1:7" s="356" customFormat="1" ht="42.75" customHeight="1" hidden="1">
      <c r="A28" s="355"/>
      <c r="B28" s="147" t="s">
        <v>198</v>
      </c>
      <c r="C28" s="148"/>
      <c r="D28" s="148"/>
      <c r="E28" s="141" t="s">
        <v>509</v>
      </c>
      <c r="F28" s="117"/>
      <c r="G28" s="146">
        <f>G29</f>
        <v>0</v>
      </c>
    </row>
    <row r="29" spans="1:7" s="356" customFormat="1" ht="39.75" customHeight="1" hidden="1">
      <c r="A29" s="355"/>
      <c r="B29" s="147" t="s">
        <v>199</v>
      </c>
      <c r="C29" s="144"/>
      <c r="D29" s="139"/>
      <c r="E29" s="141" t="s">
        <v>510</v>
      </c>
      <c r="F29" s="122"/>
      <c r="G29" s="151">
        <f>G31</f>
        <v>0</v>
      </c>
    </row>
    <row r="30" spans="1:7" s="356" customFormat="1" ht="26.25" customHeight="1" hidden="1">
      <c r="A30" s="355"/>
      <c r="B30" s="148" t="s">
        <v>472</v>
      </c>
      <c r="C30" s="139">
        <v>7360</v>
      </c>
      <c r="D30" s="140"/>
      <c r="E30" s="141" t="s">
        <v>454</v>
      </c>
      <c r="F30" s="117"/>
      <c r="G30" s="151"/>
    </row>
    <row r="31" spans="1:7" s="356" customFormat="1" ht="57.75" customHeight="1" hidden="1">
      <c r="A31" s="355"/>
      <c r="B31" s="148" t="s">
        <v>473</v>
      </c>
      <c r="C31" s="139">
        <v>7361</v>
      </c>
      <c r="D31" s="119" t="s">
        <v>42</v>
      </c>
      <c r="E31" s="117" t="s">
        <v>455</v>
      </c>
      <c r="F31" s="117" t="s">
        <v>518</v>
      </c>
      <c r="G31" s="357">
        <f>1571649-1571649</f>
        <v>0</v>
      </c>
    </row>
    <row r="32" spans="2:7" ht="33.75" customHeight="1" hidden="1">
      <c r="B32" s="117"/>
      <c r="C32" s="117"/>
      <c r="D32" s="119"/>
      <c r="E32" s="141" t="s">
        <v>38</v>
      </c>
      <c r="F32" s="314"/>
      <c r="G32" s="152">
        <f>G5+G19+G24+G28</f>
        <v>9879440</v>
      </c>
    </row>
    <row r="33" spans="2:7" ht="20.25" customHeight="1">
      <c r="B33" s="274"/>
      <c r="C33" s="274"/>
      <c r="D33" s="273"/>
      <c r="E33" s="275"/>
      <c r="F33" s="358"/>
      <c r="G33" s="348"/>
    </row>
    <row r="34" spans="2:7" ht="36.75" customHeight="1">
      <c r="B34" s="365" t="s">
        <v>513</v>
      </c>
      <c r="C34" s="365"/>
      <c r="D34" s="365"/>
      <c r="E34" s="365"/>
      <c r="F34" s="365"/>
      <c r="G34" s="365"/>
    </row>
    <row r="35" spans="2:7" ht="15.75" customHeight="1">
      <c r="B35" s="359"/>
      <c r="C35" s="359"/>
      <c r="D35" s="359"/>
      <c r="E35" s="359"/>
      <c r="F35" s="359"/>
      <c r="G35" s="359"/>
    </row>
    <row r="36" spans="2:7" ht="15.75">
      <c r="B36" s="282" t="s">
        <v>155</v>
      </c>
      <c r="C36" s="282"/>
      <c r="D36" s="282"/>
      <c r="E36" s="282"/>
      <c r="F36" s="282"/>
      <c r="G36" s="282" t="s">
        <v>156</v>
      </c>
    </row>
    <row r="38" spans="2:7" ht="15.75">
      <c r="B38" s="145" t="s">
        <v>45</v>
      </c>
      <c r="C38" s="245"/>
      <c r="D38" s="245"/>
      <c r="E38" s="245"/>
      <c r="G38" s="245" t="s">
        <v>511</v>
      </c>
    </row>
  </sheetData>
  <sheetProtection/>
  <mergeCells count="2">
    <mergeCell ref="B2:G2"/>
    <mergeCell ref="B34:G34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40" r:id="rId1"/>
  <colBreaks count="1" manualBreakCount="1">
    <brk id="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2018-09-18T11:22:34Z</cp:lastPrinted>
  <dcterms:created xsi:type="dcterms:W3CDTF">2014-01-17T10:52:16Z</dcterms:created>
  <dcterms:modified xsi:type="dcterms:W3CDTF">2018-09-18T13:32:07Z</dcterms:modified>
  <cp:category/>
  <cp:version/>
  <cp:contentType/>
  <cp:contentStatus/>
</cp:coreProperties>
</file>